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MiskolciEgyetem\_Oktatas\Targyak\Excel tanfolyam\Excel haladó PPT\2\"/>
    </mc:Choice>
  </mc:AlternateContent>
  <xr:revisionPtr revIDLastSave="0" documentId="13_ncr:1_{AF2DEB40-23CA-4E4D-AF72-0A42DD9FDC9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Matematikai" sheetId="1" r:id="rId1"/>
    <sheet name="Szövegkezelő" sheetId="2" r:id="rId2"/>
    <sheet name="Dátumkezelő" sheetId="3" r:id="rId3"/>
    <sheet name="Feladat" sheetId="4" r:id="rId4"/>
  </sheets>
  <definedNames>
    <definedName name="_xlnm._FilterDatabase" localSheetId="1" hidden="1">Matematikai!$B$3:$E$14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" i="1" l="1"/>
  <c r="U21" i="1"/>
  <c r="U23" i="1"/>
  <c r="V26" i="1"/>
  <c r="U18" i="1"/>
  <c r="C10" i="3"/>
  <c r="H37" i="3"/>
  <c r="H35" i="3"/>
  <c r="D41" i="3"/>
  <c r="D40" i="3"/>
  <c r="D39" i="3"/>
  <c r="D38" i="3"/>
  <c r="D37" i="3"/>
  <c r="D36" i="3"/>
  <c r="D35" i="3"/>
  <c r="I25" i="3"/>
  <c r="I31" i="3"/>
  <c r="I30" i="3"/>
  <c r="I29" i="3"/>
  <c r="I28" i="3"/>
  <c r="I27" i="3"/>
  <c r="I26" i="3"/>
  <c r="D31" i="3"/>
  <c r="D30" i="3"/>
  <c r="D29" i="3"/>
  <c r="D28" i="3"/>
  <c r="D27" i="3"/>
  <c r="D26" i="3"/>
  <c r="D25" i="3"/>
  <c r="G21" i="3"/>
  <c r="H21" i="3"/>
  <c r="G20" i="3"/>
  <c r="H20" i="3"/>
  <c r="G18" i="3" l="1"/>
  <c r="H19" i="3"/>
  <c r="G19" i="3"/>
  <c r="H18" i="3"/>
  <c r="H17" i="3"/>
  <c r="G17" i="3"/>
  <c r="H16" i="3"/>
  <c r="G16" i="3"/>
  <c r="H15" i="3"/>
  <c r="G15" i="3"/>
  <c r="H14" i="3"/>
  <c r="G14" i="3"/>
  <c r="H13" i="3"/>
  <c r="G13" i="3"/>
  <c r="D21" i="3"/>
  <c r="D20" i="3"/>
  <c r="D19" i="3"/>
  <c r="D18" i="3"/>
  <c r="D17" i="3"/>
  <c r="D16" i="3"/>
  <c r="D15" i="3"/>
  <c r="D14" i="3"/>
  <c r="D13" i="3"/>
  <c r="C9" i="3" l="1"/>
  <c r="C8" i="3"/>
  <c r="C7" i="3"/>
  <c r="C6" i="3"/>
  <c r="C5" i="3"/>
  <c r="C4" i="3"/>
  <c r="C3" i="3"/>
  <c r="B28" i="2"/>
  <c r="Q24" i="2"/>
  <c r="R21" i="2"/>
  <c r="L33" i="2"/>
  <c r="L34" i="2"/>
  <c r="L35" i="2"/>
  <c r="L36" i="2"/>
  <c r="L32" i="2"/>
  <c r="J33" i="2"/>
  <c r="J34" i="2"/>
  <c r="J35" i="2"/>
  <c r="J36" i="2"/>
  <c r="J32" i="2"/>
  <c r="I36" i="2"/>
  <c r="I33" i="2"/>
  <c r="I34" i="2"/>
  <c r="I35" i="2"/>
  <c r="I32" i="2"/>
  <c r="S15" i="2"/>
  <c r="S16" i="2"/>
  <c r="S17" i="2"/>
  <c r="S18" i="2"/>
  <c r="S14" i="2"/>
  <c r="P15" i="2"/>
  <c r="P16" i="2"/>
  <c r="P17" i="2"/>
  <c r="P18" i="2"/>
  <c r="P14" i="2"/>
  <c r="S7" i="2"/>
  <c r="S6" i="2"/>
  <c r="H24" i="2"/>
  <c r="H20" i="2"/>
  <c r="H29" i="2"/>
  <c r="M15" i="2"/>
  <c r="M14" i="2"/>
  <c r="M13" i="2"/>
  <c r="M8" i="2"/>
  <c r="M9" i="2"/>
  <c r="M7" i="2"/>
  <c r="M6" i="2"/>
  <c r="B19" i="2"/>
  <c r="V31" i="1"/>
  <c r="V29" i="1"/>
  <c r="V28" i="1"/>
  <c r="V27" i="1"/>
  <c r="AC23" i="1"/>
  <c r="V23" i="1"/>
  <c r="AE21" i="1"/>
  <c r="V21" i="1"/>
  <c r="AE20" i="1"/>
  <c r="AE19" i="1"/>
  <c r="V19" i="1"/>
  <c r="U19" i="1"/>
  <c r="AE18" i="1"/>
  <c r="V18" i="1"/>
  <c r="W16" i="1"/>
  <c r="V16" i="1"/>
  <c r="U16" i="1"/>
  <c r="AF12" i="1"/>
  <c r="AC12" i="1"/>
  <c r="AF8" i="1"/>
  <c r="AC8" i="1"/>
  <c r="AC13" i="1" l="1"/>
</calcChain>
</file>

<file path=xl/sharedStrings.xml><?xml version="1.0" encoding="utf-8"?>
<sst xmlns="http://schemas.openxmlformats.org/spreadsheetml/2006/main" count="305" uniqueCount="197">
  <si>
    <t>Tankör</t>
  </si>
  <si>
    <t>Év</t>
  </si>
  <si>
    <t>Vas/kg</t>
  </si>
  <si>
    <t>Papír/kg</t>
  </si>
  <si>
    <t>G1BG3</t>
  </si>
  <si>
    <t>G1BM1</t>
  </si>
  <si>
    <t>G1BG1</t>
  </si>
  <si>
    <t>G1BM2</t>
  </si>
  <si>
    <t>G1BG2</t>
  </si>
  <si>
    <t>G1BM3</t>
  </si>
  <si>
    <t>Bevétel</t>
  </si>
  <si>
    <t>BG</t>
  </si>
  <si>
    <t>BM</t>
  </si>
  <si>
    <t>papír/kg</t>
  </si>
  <si>
    <t>vas/kg</t>
  </si>
  <si>
    <t>Árak</t>
  </si>
  <si>
    <t>SZUMHATÖBB</t>
  </si>
  <si>
    <t>SZUM</t>
  </si>
  <si>
    <t>Ft</t>
  </si>
  <si>
    <t>SZUMHA</t>
  </si>
  <si>
    <t>&gt;30</t>
  </si>
  <si>
    <t>ÖSSZESÍT</t>
  </si>
  <si>
    <t>RÉSZÖSSZEG</t>
  </si>
  <si>
    <t>január</t>
  </si>
  <si>
    <t>február</t>
  </si>
  <si>
    <t>hónapok</t>
  </si>
  <si>
    <t>számok</t>
  </si>
  <si>
    <t>március</t>
  </si>
  <si>
    <t>I. negyedév</t>
  </si>
  <si>
    <t>április</t>
  </si>
  <si>
    <t>május</t>
  </si>
  <si>
    <t>június</t>
  </si>
  <si>
    <t>II. negyedév</t>
  </si>
  <si>
    <t>I. félév</t>
  </si>
  <si>
    <t>Összesít</t>
  </si>
  <si>
    <t>VÉLETLEN.KÖZÖTT</t>
  </si>
  <si>
    <t>megnevezés</t>
  </si>
  <si>
    <t>mennyiség</t>
  </si>
  <si>
    <t>egységár</t>
  </si>
  <si>
    <t>ár</t>
  </si>
  <si>
    <t>fekete szilva</t>
  </si>
  <si>
    <t>jumbo tojás</t>
  </si>
  <si>
    <t>Korfú kocka</t>
  </si>
  <si>
    <t>Schweppes</t>
  </si>
  <si>
    <t>TÖBBSZ.KEREKÍT</t>
  </si>
  <si>
    <t>Összesen:</t>
  </si>
  <si>
    <t>Keresse meg az '1500' szövegrészletet</t>
  </si>
  <si>
    <t>Keresse meg a harmadik Lorem szót</t>
  </si>
  <si>
    <t>Keresse meg a</t>
  </si>
  <si>
    <t>értéket</t>
  </si>
  <si>
    <t>CSERE: cserélje ki az 1500-at 1600-ra</t>
  </si>
  <si>
    <t>KISBETŰ</t>
  </si>
  <si>
    <t>NAGYBETŰ</t>
  </si>
  <si>
    <t>ÖSSZEFŰZ</t>
  </si>
  <si>
    <t>SZÖVEG.KERES</t>
  </si>
  <si>
    <t>SZÖVEG.TALÁL</t>
  </si>
  <si>
    <t>Keresse meg a lorem szót</t>
  </si>
  <si>
    <t xml:space="preserve">A Lorem Ipsum egy egyszerû szövegrészlete, szövegutánzata a betûszedõ és nyomdaiparnak. </t>
  </si>
  <si>
    <t>A Lorem Ipsum egy egyszerû szövegrészlete,</t>
  </si>
  <si>
    <t xml:space="preserve"> szövegutánzata a betûszedõ és nyomdaiparnak. </t>
  </si>
  <si>
    <r>
      <t>A </t>
    </r>
    <r>
      <rPr>
        <b/>
        <sz val="11"/>
        <color rgb="FF000000"/>
        <rFont val="Arial"/>
        <family val="2"/>
        <charset val="238"/>
      </rPr>
      <t>Lorem Ipsum</t>
    </r>
    <r>
      <rPr>
        <sz val="11"/>
        <color rgb="FF000000"/>
        <rFont val="Arial"/>
        <family val="2"/>
        <charset val="238"/>
      </rPr>
      <t> egy egyszerû szövegrészlete, szövegutánzata a betûszedõ és nyomdaiparnak. A "Lorem Ipsum" az 1500-as évek óta standard szövegrészletként szolgált az iparban; mikor egy ismeretlen nyomdász összeállította a betûkészletét és egy példa-könyvet vagy szöveget nyomott papírra, ezt használta. Nem csak 5 évszázadot élt túl, de az elektronikus betûkészleteknél is változatlanul megmaradt. Az 1960-as években népszerûsítették a Lorem Ipsum részleteket magukbafoglaló Letraset lapokkal, és legutóbb softwarekkel mint például az Aldus Pagemaker.</t>
    </r>
  </si>
  <si>
    <t>Írja ki az első idézőjel utáni első 5 karaktert</t>
  </si>
  <si>
    <t>Írja ki az idézőjelek közötti szöveget</t>
  </si>
  <si>
    <t>KÖZÉP</t>
  </si>
  <si>
    <t>8127 Aba</t>
  </si>
  <si>
    <t>5241 Abádszalók</t>
  </si>
  <si>
    <t>7678 Abaliget</t>
  </si>
  <si>
    <t>3261 Abasár</t>
  </si>
  <si>
    <t>3882 Abaújalpár</t>
  </si>
  <si>
    <t>BAL</t>
  </si>
  <si>
    <t>irányítószám</t>
  </si>
  <si>
    <t>JOBB</t>
  </si>
  <si>
    <t>országhívó nélkül</t>
  </si>
  <si>
    <t>József</t>
  </si>
  <si>
    <t>Béla</t>
  </si>
  <si>
    <t>Ludmilla</t>
  </si>
  <si>
    <t>Ferenc</t>
  </si>
  <si>
    <t>Mária</t>
  </si>
  <si>
    <t>Dr előtag</t>
  </si>
  <si>
    <t>Miskolc</t>
  </si>
  <si>
    <t>Pest</t>
  </si>
  <si>
    <t>Pécs</t>
  </si>
  <si>
    <t>Decrecen</t>
  </si>
  <si>
    <t>Győr</t>
  </si>
  <si>
    <t>Dr előtag &amp; kapcsolóval</t>
  </si>
  <si>
    <t>B5 cellában lévő szöveg hossza</t>
  </si>
  <si>
    <t>HOSSZ</t>
  </si>
  <si>
    <t>ez       sok    szóköz</t>
  </si>
  <si>
    <t>KIMETSZ</t>
  </si>
  <si>
    <t>Helyette: cserélje ki az összes Lorem Ipsum szavakat Excel szóra</t>
  </si>
  <si>
    <t>IDŐ</t>
  </si>
  <si>
    <t>ÉV</t>
  </si>
  <si>
    <t>HÓNAP</t>
  </si>
  <si>
    <t>NAP</t>
  </si>
  <si>
    <t>MA</t>
  </si>
  <si>
    <t>HÉTNAPJA</t>
  </si>
  <si>
    <t>DÁTUM</t>
  </si>
  <si>
    <t>Székely Katinka</t>
  </si>
  <si>
    <t>Szakács Leonóra</t>
  </si>
  <si>
    <t>Serföző Ábrahám</t>
  </si>
  <si>
    <t>Hornyák Bonifác</t>
  </si>
  <si>
    <t>Palotás Gergely</t>
  </si>
  <si>
    <t>Csordás Bíborka</t>
  </si>
  <si>
    <t>Pázmány Liliána</t>
  </si>
  <si>
    <t>Forgács Taksony</t>
  </si>
  <si>
    <t>Karikás Marcell</t>
  </si>
  <si>
    <t>név</t>
  </si>
  <si>
    <t>sz. dátum</t>
  </si>
  <si>
    <t>életkor</t>
  </si>
  <si>
    <t>dátum</t>
  </si>
  <si>
    <t>negyedév</t>
  </si>
  <si>
    <t>félév (római)</t>
  </si>
  <si>
    <t>kezdés</t>
  </si>
  <si>
    <t>befejezés</t>
  </si>
  <si>
    <t>fizetés</t>
  </si>
  <si>
    <t>Bognár Zoltán</t>
  </si>
  <si>
    <t>Varga Tímea</t>
  </si>
  <si>
    <t>Szabó Tamás</t>
  </si>
  <si>
    <t>Juhász Edit</t>
  </si>
  <si>
    <t>Hajdú Sándor</t>
  </si>
  <si>
    <t>Kenyeres Zénó</t>
  </si>
  <si>
    <t>Pataki Bea</t>
  </si>
  <si>
    <t>érkezés</t>
  </si>
  <si>
    <t>távozás</t>
  </si>
  <si>
    <t>13 előtt</t>
  </si>
  <si>
    <t>első nap</t>
  </si>
  <si>
    <t>napok</t>
  </si>
  <si>
    <t>utolsó nap</t>
  </si>
  <si>
    <t>HÉT:SZÁMA</t>
  </si>
  <si>
    <t>Hallgató neve</t>
  </si>
  <si>
    <t>Szak</t>
  </si>
  <si>
    <t>Évfolyam</t>
  </si>
  <si>
    <t>Kreditek</t>
  </si>
  <si>
    <t>Születési dátum</t>
  </si>
  <si>
    <t>Telefonszám</t>
  </si>
  <si>
    <t>Megjegyzés</t>
  </si>
  <si>
    <t>Kovács Anna</t>
  </si>
  <si>
    <t>Gazdálkodás</t>
  </si>
  <si>
    <t>I. évf.</t>
  </si>
  <si>
    <t>+36 30 1234567</t>
  </si>
  <si>
    <t>ösztöndíjas</t>
  </si>
  <si>
    <t>Szabó Béla</t>
  </si>
  <si>
    <t>Mérnökinfó</t>
  </si>
  <si>
    <t>II. évf.</t>
  </si>
  <si>
    <t>+36 20 9876543</t>
  </si>
  <si>
    <t>-</t>
  </si>
  <si>
    <t>Kiss Csaba</t>
  </si>
  <si>
    <t>Jogász</t>
  </si>
  <si>
    <t>+36 70 1112233</t>
  </si>
  <si>
    <t>vizsga elhalasztva</t>
  </si>
  <si>
    <t>Tóth Dóra</t>
  </si>
  <si>
    <t>III. évf.</t>
  </si>
  <si>
    <t>+36 1 5556677</t>
  </si>
  <si>
    <t>kiemelkedő</t>
  </si>
  <si>
    <t>Nagy Erika</t>
  </si>
  <si>
    <t>+36 30 7654321</t>
  </si>
  <si>
    <t>tantárgyfelvétel hiány</t>
  </si>
  <si>
    <t>Horváth Feri</t>
  </si>
  <si>
    <t>IV. évf.</t>
  </si>
  <si>
    <t>+36 70 2468135</t>
  </si>
  <si>
    <t>ösztöndíjas, kiemelkedő</t>
  </si>
  <si>
    <t>1. Matematikai függvények</t>
  </si>
  <si>
    <r>
      <t>1. Számold ki az összes kredit értékét (</t>
    </r>
    <r>
      <rPr>
        <b/>
        <sz val="11"/>
        <color theme="1"/>
        <rFont val="Calibri"/>
        <family val="2"/>
        <scheme val="minor"/>
      </rPr>
      <t>SZUM</t>
    </r>
    <r>
      <rPr>
        <sz val="11"/>
        <color theme="1"/>
        <rFont val="Calibri"/>
        <family val="2"/>
        <scheme val="minor"/>
      </rPr>
      <t>).</t>
    </r>
  </si>
  <si>
    <r>
      <t>2. Számold ki a I. évfolyamos hallgatók összes kreditjét (</t>
    </r>
    <r>
      <rPr>
        <b/>
        <sz val="11"/>
        <color theme="1"/>
        <rFont val="Calibri"/>
        <family val="2"/>
        <scheme val="minor"/>
      </rPr>
      <t>SZUMHA</t>
    </r>
    <r>
      <rPr>
        <sz val="11"/>
        <color theme="1"/>
        <rFont val="Calibri"/>
        <family val="2"/>
        <scheme val="minor"/>
      </rPr>
      <t>).</t>
    </r>
  </si>
  <si>
    <r>
      <t>3. Számold ki a kreditösszeget szakok szerint (</t>
    </r>
    <r>
      <rPr>
        <b/>
        <sz val="11"/>
        <color theme="1"/>
        <rFont val="Calibri"/>
        <family val="2"/>
        <scheme val="minor"/>
      </rPr>
      <t>SZUMHATÖBB</t>
    </r>
    <r>
      <rPr>
        <sz val="11"/>
        <color theme="1"/>
        <rFont val="Calibri"/>
        <family val="2"/>
        <scheme val="minor"/>
      </rPr>
      <t>).</t>
    </r>
  </si>
  <si>
    <r>
      <t>4. Készíts részösszeget az évfolyamok kreditjeire (</t>
    </r>
    <r>
      <rPr>
        <b/>
        <sz val="11"/>
        <color theme="1"/>
        <rFont val="Calibri"/>
        <family val="2"/>
        <scheme val="minor"/>
      </rPr>
      <t>RÉSZÖSSZEG</t>
    </r>
    <r>
      <rPr>
        <sz val="11"/>
        <color theme="1"/>
        <rFont val="Calibri"/>
        <family val="2"/>
        <scheme val="minor"/>
      </rPr>
      <t>).</t>
    </r>
  </si>
  <si>
    <r>
      <t xml:space="preserve">5. Számold ki a maximum, minimum és átlag kreditet </t>
    </r>
    <r>
      <rPr>
        <b/>
        <sz val="11"/>
        <color theme="1"/>
        <rFont val="Calibri"/>
        <family val="2"/>
        <scheme val="minor"/>
      </rPr>
      <t>ÖSSZESÍT</t>
    </r>
    <r>
      <rPr>
        <sz val="11"/>
        <color theme="1"/>
        <rFont val="Calibri"/>
        <family val="2"/>
        <scheme val="minor"/>
      </rPr>
      <t xml:space="preserve"> függvénnyel.</t>
    </r>
  </si>
  <si>
    <r>
      <t>6. Generálj egy véletlen kreditpontszámot 20 és 100 között (</t>
    </r>
    <r>
      <rPr>
        <b/>
        <sz val="11"/>
        <color theme="1"/>
        <rFont val="Calibri"/>
        <family val="2"/>
        <scheme val="minor"/>
      </rPr>
      <t>VÉLETLEN.KÖZÖTT</t>
    </r>
    <r>
      <rPr>
        <sz val="11"/>
        <color theme="1"/>
        <rFont val="Calibri"/>
        <family val="2"/>
        <scheme val="minor"/>
      </rPr>
      <t>).</t>
    </r>
  </si>
  <si>
    <t>2. Szövegkezelő alap</t>
  </si>
  <si>
    <r>
      <t>7. Keresd meg, kiknél szerepel az „ösztöndíjas” szó a „Megjegyzés” oszlopban (</t>
    </r>
    <r>
      <rPr>
        <b/>
        <sz val="11"/>
        <color theme="1"/>
        <rFont val="Calibri"/>
        <family val="2"/>
        <scheme val="minor"/>
      </rPr>
      <t>SZÖVEG.KERES</t>
    </r>
    <r>
      <rPr>
        <sz val="11"/>
        <color theme="1"/>
        <rFont val="Calibri"/>
        <family val="2"/>
        <scheme val="minor"/>
      </rPr>
      <t>).</t>
    </r>
  </si>
  <si>
    <r>
      <t>8. Keresd meg, kinél szerepel a „vizsga” kifejezés (</t>
    </r>
    <r>
      <rPr>
        <b/>
        <sz val="11"/>
        <color theme="1"/>
        <rFont val="Calibri"/>
        <family val="2"/>
        <scheme val="minor"/>
      </rPr>
      <t>SZÖVEG.TALÁL</t>
    </r>
    <r>
      <rPr>
        <sz val="11"/>
        <color theme="1"/>
        <rFont val="Calibri"/>
        <family val="2"/>
        <scheme val="minor"/>
      </rPr>
      <t>).</t>
    </r>
  </si>
  <si>
    <r>
      <t>9. Írd kisbetűvel az összes hallgató nevét (</t>
    </r>
    <r>
      <rPr>
        <b/>
        <sz val="11"/>
        <color theme="1"/>
        <rFont val="Calibri"/>
        <family val="2"/>
        <scheme val="minor"/>
      </rPr>
      <t>KISBETŰ</t>
    </r>
    <r>
      <rPr>
        <sz val="11"/>
        <color theme="1"/>
        <rFont val="Calibri"/>
        <family val="2"/>
        <scheme val="minor"/>
      </rPr>
      <t>).</t>
    </r>
  </si>
  <si>
    <r>
      <t>10. Írd nagybetűvel az összes szak nevét (</t>
    </r>
    <r>
      <rPr>
        <b/>
        <sz val="11"/>
        <color theme="1"/>
        <rFont val="Calibri"/>
        <family val="2"/>
        <scheme val="minor"/>
      </rPr>
      <t>NAGYBETŰ</t>
    </r>
    <r>
      <rPr>
        <sz val="11"/>
        <color theme="1"/>
        <rFont val="Calibri"/>
        <family val="2"/>
        <scheme val="minor"/>
      </rPr>
      <t>).</t>
    </r>
  </si>
  <si>
    <r>
      <t>11. Fűzd össze a „Hallgató neve” és az „Évfolyam” oszlopot (</t>
    </r>
    <r>
      <rPr>
        <b/>
        <sz val="11"/>
        <color theme="1"/>
        <rFont val="Calibri"/>
        <family val="2"/>
        <scheme val="minor"/>
      </rPr>
      <t>ÖSSZEFŰZ</t>
    </r>
    <r>
      <rPr>
        <sz val="11"/>
        <color theme="1"/>
        <rFont val="Calibri"/>
        <family val="2"/>
        <scheme val="minor"/>
      </rPr>
      <t>).</t>
    </r>
  </si>
  <si>
    <t>3. Szövegkezelő haladó</t>
  </si>
  <si>
    <r>
      <t>12. Írd ki a hallgató nevéből az első 6 karaktert (</t>
    </r>
    <r>
      <rPr>
        <b/>
        <sz val="11"/>
        <color theme="1"/>
        <rFont val="Calibri"/>
        <family val="2"/>
        <scheme val="minor"/>
      </rPr>
      <t>BAL</t>
    </r>
    <r>
      <rPr>
        <sz val="11"/>
        <color theme="1"/>
        <rFont val="Calibri"/>
        <family val="2"/>
        <scheme val="minor"/>
      </rPr>
      <t>).</t>
    </r>
  </si>
  <si>
    <r>
      <t>13. Írd ki a hallgató nevéből az utolsó 4 karaktert (</t>
    </r>
    <r>
      <rPr>
        <b/>
        <sz val="11"/>
        <color theme="1"/>
        <rFont val="Calibri"/>
        <family val="2"/>
        <scheme val="minor"/>
      </rPr>
      <t>JOBB</t>
    </r>
    <r>
      <rPr>
        <sz val="11"/>
        <color theme="1"/>
        <rFont val="Calibri"/>
        <family val="2"/>
        <scheme val="minor"/>
      </rPr>
      <t>).</t>
    </r>
  </si>
  <si>
    <r>
      <t>14. Írd ki a hallgató keresztnevét (</t>
    </r>
    <r>
      <rPr>
        <b/>
        <sz val="11"/>
        <color theme="1"/>
        <rFont val="Calibri"/>
        <family val="2"/>
        <scheme val="minor"/>
      </rPr>
      <t>KÖZÉP</t>
    </r>
    <r>
      <rPr>
        <sz val="11"/>
        <color theme="1"/>
        <rFont val="Calibri"/>
        <family val="2"/>
        <scheme val="minor"/>
      </rPr>
      <t>).</t>
    </r>
  </si>
  <si>
    <r>
      <t>15. Számold meg a telefonszám karaktereinek számát (</t>
    </r>
    <r>
      <rPr>
        <b/>
        <sz val="11"/>
        <color theme="1"/>
        <rFont val="Calibri"/>
        <family val="2"/>
        <scheme val="minor"/>
      </rPr>
      <t>HOSSZ</t>
    </r>
    <r>
      <rPr>
        <sz val="11"/>
        <color theme="1"/>
        <rFont val="Calibri"/>
        <family val="2"/>
        <scheme val="minor"/>
      </rPr>
      <t>).</t>
    </r>
  </si>
  <si>
    <r>
      <t>16. Írd ki a telefonszámból a szolgáltató azonosítóját (</t>
    </r>
    <r>
      <rPr>
        <b/>
        <sz val="11"/>
        <color theme="1"/>
        <rFont val="Calibri"/>
        <family val="2"/>
        <scheme val="minor"/>
      </rPr>
      <t>KIMETSZ</t>
    </r>
    <r>
      <rPr>
        <sz val="11"/>
        <color theme="1"/>
        <rFont val="Calibri"/>
        <family val="2"/>
        <scheme val="minor"/>
      </rPr>
      <t>).</t>
    </r>
  </si>
  <si>
    <r>
      <t>17. Tisztítsd meg a „Megjegyzés” oszlopot a felesleges szóközöktől (</t>
    </r>
    <r>
      <rPr>
        <b/>
        <sz val="11"/>
        <color theme="1"/>
        <rFont val="Calibri"/>
        <family val="2"/>
        <scheme val="minor"/>
      </rPr>
      <t>KITISZTÍT</t>
    </r>
    <r>
      <rPr>
        <sz val="11"/>
        <color theme="1"/>
        <rFont val="Calibri"/>
        <family val="2"/>
        <scheme val="minor"/>
      </rPr>
      <t>).</t>
    </r>
  </si>
  <si>
    <r>
      <t>18. Cseréld le a „tantárgyfelvétel hiány” szöveget „pótvizsga” szóra (</t>
    </r>
    <r>
      <rPr>
        <b/>
        <sz val="11"/>
        <color theme="1"/>
        <rFont val="Calibri"/>
        <family val="2"/>
        <scheme val="minor"/>
      </rPr>
      <t>HELYETTE</t>
    </r>
    <r>
      <rPr>
        <sz val="11"/>
        <color theme="1"/>
        <rFont val="Calibri"/>
        <family val="2"/>
        <scheme val="minor"/>
      </rPr>
      <t>).</t>
    </r>
  </si>
  <si>
    <r>
      <t>19. Cseréld ki az „I. évf.” bejegyzést „Első évfolyam”-ra (</t>
    </r>
    <r>
      <rPr>
        <b/>
        <sz val="11"/>
        <color theme="1"/>
        <rFont val="Calibri"/>
        <family val="2"/>
        <scheme val="minor"/>
      </rPr>
      <t>CSERE</t>
    </r>
    <r>
      <rPr>
        <sz val="11"/>
        <color theme="1"/>
        <rFont val="Calibri"/>
        <family val="2"/>
        <scheme val="minor"/>
      </rPr>
      <t>).</t>
    </r>
  </si>
  <si>
    <r>
      <t>20. Vizsgáld meg, hogy két hallgatónév teljesen azonos-e (</t>
    </r>
    <r>
      <rPr>
        <b/>
        <sz val="11"/>
        <color theme="1"/>
        <rFont val="Calibri"/>
        <family val="2"/>
        <scheme val="minor"/>
      </rPr>
      <t>AZONOS</t>
    </r>
    <r>
      <rPr>
        <sz val="11"/>
        <color theme="1"/>
        <rFont val="Calibri"/>
        <family val="2"/>
        <scheme val="minor"/>
      </rPr>
      <t>).</t>
    </r>
  </si>
  <si>
    <t>4. Dátumkezelő</t>
  </si>
  <si>
    <r>
      <t>21. Írd ki a születési dátumból az évet (</t>
    </r>
    <r>
      <rPr>
        <b/>
        <sz val="11"/>
        <color theme="1"/>
        <rFont val="Calibri"/>
        <family val="2"/>
        <scheme val="minor"/>
      </rPr>
      <t>ÉV</t>
    </r>
    <r>
      <rPr>
        <sz val="11"/>
        <color theme="1"/>
        <rFont val="Calibri"/>
        <family val="2"/>
        <scheme val="minor"/>
      </rPr>
      <t>).</t>
    </r>
  </si>
  <si>
    <r>
      <t>22. Írd ki a születési dátumból a hónapot (</t>
    </r>
    <r>
      <rPr>
        <b/>
        <sz val="11"/>
        <color theme="1"/>
        <rFont val="Calibri"/>
        <family val="2"/>
        <scheme val="minor"/>
      </rPr>
      <t>HÓNAP</t>
    </r>
    <r>
      <rPr>
        <sz val="11"/>
        <color theme="1"/>
        <rFont val="Calibri"/>
        <family val="2"/>
        <scheme val="minor"/>
      </rPr>
      <t>).</t>
    </r>
  </si>
  <si>
    <r>
      <t>23. Írd ki a születési dátumból a napot (</t>
    </r>
    <r>
      <rPr>
        <b/>
        <sz val="11"/>
        <color theme="1"/>
        <rFont val="Calibri"/>
        <family val="2"/>
        <scheme val="minor"/>
      </rPr>
      <t>NAP</t>
    </r>
    <r>
      <rPr>
        <sz val="11"/>
        <color theme="1"/>
        <rFont val="Calibri"/>
        <family val="2"/>
        <scheme val="minor"/>
      </rPr>
      <t>).</t>
    </r>
  </si>
  <si>
    <r>
      <t>24. Írd ki a mai dátumot (</t>
    </r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>).</t>
    </r>
  </si>
  <si>
    <r>
      <t>25. Határozd meg, hogy a születésnap a hét melyik napjára esett (</t>
    </r>
    <r>
      <rPr>
        <b/>
        <sz val="11"/>
        <color theme="1"/>
        <rFont val="Calibri"/>
        <family val="2"/>
        <scheme val="minor"/>
      </rPr>
      <t>HÉT.NAPJA</t>
    </r>
    <r>
      <rPr>
        <sz val="11"/>
        <color theme="1"/>
        <rFont val="Calibri"/>
        <family val="2"/>
        <scheme val="minor"/>
      </rPr>
      <t>).</t>
    </r>
  </si>
  <si>
    <r>
      <t>26. Írd ki, a születési dátum hányadik hetére esett a születés (</t>
    </r>
    <r>
      <rPr>
        <b/>
        <sz val="11"/>
        <color theme="1"/>
        <rFont val="Calibri"/>
        <family val="2"/>
        <scheme val="minor"/>
      </rPr>
      <t>HÉT.SZÁMA</t>
    </r>
    <r>
      <rPr>
        <sz val="11"/>
        <color theme="1"/>
        <rFont val="Calibri"/>
        <family val="2"/>
        <scheme val="minor"/>
      </rPr>
      <t>).</t>
    </r>
  </si>
  <si>
    <r>
      <t>27. Állíts elő egy új dátumot a születési évből, hónapból és napból (</t>
    </r>
    <r>
      <rPr>
        <b/>
        <sz val="11"/>
        <color theme="1"/>
        <rFont val="Calibri"/>
        <family val="2"/>
        <scheme val="minor"/>
      </rPr>
      <t>DÁTUM</t>
    </r>
    <r>
      <rPr>
        <sz val="11"/>
        <color theme="1"/>
        <rFont val="Calibri"/>
        <family val="2"/>
        <scheme val="minor"/>
      </rPr>
      <t>).</t>
    </r>
  </si>
  <si>
    <r>
      <t>28. Számold ki, hány nap telt el a születési dátum és a mai nap között (</t>
    </r>
    <r>
      <rPr>
        <b/>
        <sz val="11"/>
        <color theme="1"/>
        <rFont val="Calibri"/>
        <family val="2"/>
        <scheme val="minor"/>
      </rPr>
      <t>=MA()-dátum</t>
    </r>
    <r>
      <rPr>
        <sz val="11"/>
        <color theme="1"/>
        <rFont val="Calibri"/>
        <family val="2"/>
        <scheme val="minor"/>
      </rPr>
      <t>).</t>
    </r>
  </si>
  <si>
    <r>
      <t>29. Számold ki a hallgatók életkorát egész években (</t>
    </r>
    <r>
      <rPr>
        <b/>
        <sz val="11"/>
        <color theme="1"/>
        <rFont val="Calibri"/>
        <family val="2"/>
        <scheme val="minor"/>
      </rPr>
      <t>ÉV(MA())-ÉV(születési_dátum)</t>
    </r>
    <r>
      <rPr>
        <sz val="11"/>
        <color theme="1"/>
        <rFont val="Calibri"/>
        <family val="2"/>
        <scheme val="minor"/>
      </rPr>
      <t>).</t>
    </r>
  </si>
  <si>
    <t>5. Információs függvények</t>
  </si>
  <si>
    <r>
      <t>30. Írd ki a kredit cella formátumát (</t>
    </r>
    <r>
      <rPr>
        <b/>
        <sz val="11"/>
        <color theme="1"/>
        <rFont val="Calibri"/>
        <family val="2"/>
        <scheme val="minor"/>
      </rPr>
      <t>CELLA</t>
    </r>
    <r>
      <rPr>
        <sz val="11"/>
        <color theme="1"/>
        <rFont val="Calibri"/>
        <family val="2"/>
        <scheme val="minor"/>
      </rPr>
      <t>).</t>
    </r>
  </si>
  <si>
    <r>
      <t>31. Vizsgáld meg, hogy a „Kreditek” oszlopban van-e hibás érték (</t>
    </r>
    <r>
      <rPr>
        <b/>
        <sz val="11"/>
        <color theme="1"/>
        <rFont val="Calibri"/>
        <family val="2"/>
        <scheme val="minor"/>
      </rPr>
      <t>HIBA</t>
    </r>
    <r>
      <rPr>
        <sz val="11"/>
        <color theme="1"/>
        <rFont val="Calibri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</si>
</sst>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Ft&quot;_-;\-* #,##0.00\ &quot;Ft&quot;_-;_-* &quot;-&quot;??\ &quot;Ft&quot;_-;_-@_-"/>
    <numFmt numFmtId="164" formatCode="_-* #,##0\ [$Ft-40E]_-;\-* #,##0\ [$Ft-40E]_-;_-* &quot;-&quot;??\ [$Ft-40E]_-;_-@_-"/>
    <numFmt numFmtId="165" formatCode="_-* #,##0\ &quot;Ft&quot;_-;\-* #,##0\ &quot;Ft&quot;_-;_-* &quot;-&quot;??\ &quot;Ft&quot;_-;_-@_-"/>
    <numFmt numFmtId="166" formatCode="General&quot; kg&quot;"/>
    <numFmt numFmtId="167" formatCode="General&quot; Ft/kg&quot;"/>
    <numFmt numFmtId="168" formatCode="General&quot; db&quot;"/>
    <numFmt numFmtId="169" formatCode="General&quot; Ft/db&quot;"/>
    <numFmt numFmtId="170" formatCode="#,###&quot; Ft/kg&quot;"/>
    <numFmt numFmtId="171" formatCode="General&quot; l&quot;"/>
    <numFmt numFmtId="172" formatCode="General&quot; Ft/l&quot;"/>
    <numFmt numFmtId="173" formatCode="h:mm;@"/>
    <numFmt numFmtId="174" formatCode="hh:mm"/>
  </numFmts>
  <fonts count="15">
    <font>
      <sz val="11"/>
      <color theme="1"/>
      <name val="Calibri"/>
      <family val="2"/>
      <scheme val="minor"/>
    </font>
    <font>
      <sz val="8.8000000000000007"/>
      <color rgb="FF5FCBEF"/>
      <name val="Wingdings 3"/>
      <family val="1"/>
      <charset val="2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.8000000000000007"/>
      <color rgb="FF5FCBEF"/>
      <name val="Wingdings 3"/>
      <family val="2"/>
      <charset val="238"/>
    </font>
    <font>
      <sz val="12"/>
      <color rgb="FF1E1E1E"/>
      <name val="Segoe UI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ed">
        <color indexed="64"/>
      </bottom>
      <diagonal/>
    </border>
    <border>
      <left/>
      <right/>
      <top style="dashDotDot">
        <color indexed="64"/>
      </top>
      <bottom style="dashed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ed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/>
  </cellStyleXfs>
  <cellXfs count="199">
    <xf numFmtId="0" fontId="0" fillId="0" borderId="0" xfId="0"/>
    <xf numFmtId="0" fontId="1" fillId="0" borderId="0" xfId="0" applyFont="1" applyAlignment="1">
      <alignment horizontal="left" vertical="center" indent="4" readingOrder="1"/>
    </xf>
    <xf numFmtId="0" fontId="2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164" fontId="0" fillId="0" borderId="8" xfId="0" applyNumberFormat="1" applyBorder="1"/>
    <xf numFmtId="164" fontId="0" fillId="0" borderId="11" xfId="0" applyNumberForma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0" fillId="0" borderId="13" xfId="0" applyBorder="1" applyAlignment="1">
      <alignment horizontal="center"/>
    </xf>
    <xf numFmtId="0" fontId="0" fillId="2" borderId="20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10" xfId="0" applyFill="1" applyBorder="1" applyAlignment="1">
      <alignment horizontal="center"/>
    </xf>
    <xf numFmtId="0" fontId="0" fillId="3" borderId="0" xfId="0" applyFill="1"/>
    <xf numFmtId="0" fontId="0" fillId="3" borderId="10" xfId="0" applyFill="1" applyBorder="1"/>
    <xf numFmtId="2" fontId="0" fillId="3" borderId="13" xfId="0" applyNumberForma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4" borderId="2" xfId="0" applyFill="1" applyBorder="1"/>
    <xf numFmtId="0" fontId="0" fillId="4" borderId="17" xfId="0" applyFill="1" applyBorder="1"/>
    <xf numFmtId="0" fontId="0" fillId="4" borderId="8" xfId="0" applyFill="1" applyBorder="1"/>
    <xf numFmtId="0" fontId="0" fillId="4" borderId="0" xfId="0" applyFill="1"/>
    <xf numFmtId="0" fontId="0" fillId="0" borderId="16" xfId="0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5" fontId="0" fillId="4" borderId="8" xfId="1" applyNumberFormat="1" applyFont="1" applyFill="1" applyBorder="1"/>
    <xf numFmtId="0" fontId="0" fillId="3" borderId="5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165" fontId="0" fillId="2" borderId="25" xfId="1" applyNumberFormat="1" applyFont="1" applyFill="1" applyBorder="1"/>
    <xf numFmtId="165" fontId="0" fillId="2" borderId="26" xfId="1" applyNumberFormat="1" applyFont="1" applyFill="1" applyBorder="1"/>
    <xf numFmtId="165" fontId="0" fillId="2" borderId="27" xfId="1" applyNumberFormat="1" applyFont="1" applyFill="1" applyBorder="1"/>
    <xf numFmtId="165" fontId="0" fillId="2" borderId="28" xfId="1" applyNumberFormat="1" applyFont="1" applyFill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indent="4" readingOrder="1"/>
    </xf>
    <xf numFmtId="0" fontId="0" fillId="4" borderId="32" xfId="0" applyFill="1" applyBorder="1"/>
    <xf numFmtId="0" fontId="0" fillId="4" borderId="40" xfId="0" applyFill="1" applyBorder="1"/>
    <xf numFmtId="0" fontId="0" fillId="4" borderId="44" xfId="0" applyFill="1" applyBorder="1"/>
    <xf numFmtId="0" fontId="0" fillId="4" borderId="39" xfId="0" applyFill="1" applyBorder="1"/>
    <xf numFmtId="0" fontId="7" fillId="0" borderId="0" xfId="0" applyFont="1"/>
    <xf numFmtId="1" fontId="9" fillId="0" borderId="0" xfId="2" applyNumberFormat="1" applyFont="1"/>
    <xf numFmtId="0" fontId="0" fillId="4" borderId="10" xfId="0" applyFill="1" applyBorder="1"/>
    <xf numFmtId="0" fontId="7" fillId="0" borderId="8" xfId="0" applyFont="1" applyBorder="1"/>
    <xf numFmtId="1" fontId="9" fillId="4" borderId="0" xfId="2" applyNumberFormat="1" applyFont="1" applyFill="1"/>
    <xf numFmtId="1" fontId="9" fillId="4" borderId="10" xfId="2" applyNumberFormat="1" applyFont="1" applyFill="1" applyBorder="1"/>
    <xf numFmtId="0" fontId="0" fillId="4" borderId="11" xfId="0" applyFill="1" applyBorder="1"/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4" xfId="0" applyFill="1" applyBorder="1"/>
    <xf numFmtId="0" fontId="0" fillId="0" borderId="14" xfId="0" applyBorder="1"/>
    <xf numFmtId="1" fontId="0" fillId="0" borderId="0" xfId="0" applyNumberForma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/>
    <xf numFmtId="14" fontId="0" fillId="0" borderId="10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0" xfId="0" applyNumberForma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18" fontId="0" fillId="4" borderId="8" xfId="0" applyNumberForma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14" fontId="0" fillId="4" borderId="8" xfId="0" applyNumberFormat="1" applyFill="1" applyBorder="1" applyAlignment="1">
      <alignment horizontal="left"/>
    </xf>
    <xf numFmtId="20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3" fontId="0" fillId="4" borderId="8" xfId="0" applyNumberFormat="1" applyFill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173" fontId="0" fillId="0" borderId="10" xfId="0" applyNumberFormat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4" fontId="8" fillId="0" borderId="7" xfId="2" applyNumberFormat="1" applyBorder="1" applyAlignment="1">
      <alignment horizontal="center"/>
    </xf>
    <xf numFmtId="174" fontId="8" fillId="0" borderId="0" xfId="2" applyNumberFormat="1" applyAlignment="1">
      <alignment horizontal="center"/>
    </xf>
    <xf numFmtId="174" fontId="8" fillId="0" borderId="9" xfId="2" applyNumberFormat="1" applyBorder="1" applyAlignment="1">
      <alignment horizontal="center"/>
    </xf>
    <xf numFmtId="174" fontId="8" fillId="0" borderId="10" xfId="2" applyNumberForma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174" fontId="8" fillId="4" borderId="8" xfId="2" applyNumberFormat="1" applyFill="1" applyBorder="1"/>
    <xf numFmtId="174" fontId="8" fillId="4" borderId="11" xfId="2" applyNumberFormat="1" applyFill="1" applyBorder="1"/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65" fontId="0" fillId="0" borderId="0" xfId="0" applyNumberFormat="1"/>
    <xf numFmtId="0" fontId="12" fillId="6" borderId="13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5" fontId="0" fillId="4" borderId="10" xfId="1" applyNumberFormat="1" applyFont="1" applyFill="1" applyBorder="1" applyAlignment="1">
      <alignment horizontal="center"/>
    </xf>
    <xf numFmtId="165" fontId="0" fillId="4" borderId="11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" fontId="0" fillId="0" borderId="9" xfId="0" applyNumberFormat="1" applyBorder="1" applyAlignment="1">
      <alignment horizontal="center"/>
    </xf>
    <xf numFmtId="18" fontId="0" fillId="0" borderId="10" xfId="0" applyNumberFormat="1" applyBorder="1" applyAlignment="1">
      <alignment horizontal="center"/>
    </xf>
    <xf numFmtId="0" fontId="0" fillId="4" borderId="48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4" borderId="36" xfId="0" applyFill="1" applyBorder="1" applyAlignment="1">
      <alignment horizontal="center" wrapText="1"/>
    </xf>
    <xf numFmtId="0" fontId="0" fillId="4" borderId="37" xfId="0" applyFill="1" applyBorder="1" applyAlignment="1">
      <alignment horizontal="center" wrapText="1"/>
    </xf>
    <xf numFmtId="0" fontId="0" fillId="4" borderId="38" xfId="0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22" fontId="0" fillId="0" borderId="12" xfId="0" applyNumberForma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</cellXfs>
  <cellStyles count="3">
    <cellStyle name="Normál" xfId="0" builtinId="0"/>
    <cellStyle name="Normál 2" xfId="2" xr:uid="{FA9B2654-68A8-4AB3-9D9D-800F0E34D6C0}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31"/>
  <sheetViews>
    <sheetView topLeftCell="R9" zoomScale="160" zoomScaleNormal="160" workbookViewId="0">
      <selection activeCell="AB16" sqref="AB16:AE16"/>
    </sheetView>
  </sheetViews>
  <sheetFormatPr defaultRowHeight="15"/>
  <cols>
    <col min="2" max="2" width="18" customWidth="1"/>
    <col min="5" max="5" width="12" customWidth="1"/>
    <col min="6" max="6" width="9.5703125" customWidth="1"/>
    <col min="10" max="10" width="14.28515625" customWidth="1"/>
    <col min="13" max="13" width="12" customWidth="1"/>
    <col min="19" max="21" width="9.140625" customWidth="1"/>
    <col min="22" max="22" width="12" customWidth="1"/>
    <col min="23" max="29" width="9.140625" customWidth="1"/>
    <col min="30" max="30" width="12" customWidth="1"/>
    <col min="31" max="31" width="15.5703125" customWidth="1"/>
    <col min="32" max="32" width="13.42578125" customWidth="1"/>
  </cols>
  <sheetData>
    <row r="1" spans="2:32">
      <c r="B1" s="1"/>
    </row>
    <row r="2" spans="2:32" ht="15.75" thickBot="1"/>
    <row r="3" spans="2:32" ht="15.75" thickBot="1">
      <c r="B3" s="18" t="s">
        <v>0</v>
      </c>
      <c r="C3" s="23" t="s">
        <v>1</v>
      </c>
      <c r="D3" s="23" t="s">
        <v>2</v>
      </c>
      <c r="E3" s="19" t="s">
        <v>3</v>
      </c>
      <c r="F3" s="4"/>
      <c r="G3" s="5"/>
      <c r="K3" s="118" t="s">
        <v>22</v>
      </c>
      <c r="L3" s="119"/>
      <c r="M3" s="11"/>
      <c r="N3" s="119" t="s">
        <v>34</v>
      </c>
      <c r="O3" s="120"/>
      <c r="S3" s="18" t="s">
        <v>0</v>
      </c>
      <c r="T3" s="23" t="s">
        <v>1</v>
      </c>
      <c r="U3" s="23" t="s">
        <v>2</v>
      </c>
      <c r="V3" s="19" t="s">
        <v>3</v>
      </c>
      <c r="W3" s="4"/>
      <c r="X3" s="5"/>
      <c r="AB3" s="118" t="s">
        <v>22</v>
      </c>
      <c r="AC3" s="119"/>
      <c r="AD3" s="11"/>
      <c r="AE3" s="119" t="s">
        <v>34</v>
      </c>
      <c r="AF3" s="120"/>
    </row>
    <row r="4" spans="2:32">
      <c r="B4" s="6" t="s">
        <v>4</v>
      </c>
      <c r="C4">
        <v>2014</v>
      </c>
      <c r="D4">
        <v>25</v>
      </c>
      <c r="E4" s="7">
        <v>12</v>
      </c>
      <c r="G4" s="7"/>
      <c r="K4" s="14" t="s">
        <v>25</v>
      </c>
      <c r="L4" s="2" t="s">
        <v>26</v>
      </c>
      <c r="N4" s="2" t="s">
        <v>25</v>
      </c>
      <c r="O4" s="15" t="s">
        <v>26</v>
      </c>
      <c r="S4" s="6" t="s">
        <v>4</v>
      </c>
      <c r="T4">
        <v>2014</v>
      </c>
      <c r="U4">
        <v>25</v>
      </c>
      <c r="V4" s="7">
        <v>12</v>
      </c>
      <c r="X4" s="7"/>
      <c r="AB4" s="14" t="s">
        <v>25</v>
      </c>
      <c r="AC4" s="2" t="s">
        <v>26</v>
      </c>
      <c r="AE4" s="2" t="s">
        <v>25</v>
      </c>
      <c r="AF4" s="15" t="s">
        <v>26</v>
      </c>
    </row>
    <row r="5" spans="2:32">
      <c r="B5" s="6" t="s">
        <v>5</v>
      </c>
      <c r="C5">
        <v>2015</v>
      </c>
      <c r="D5">
        <v>43</v>
      </c>
      <c r="E5" s="7">
        <v>6</v>
      </c>
      <c r="G5" s="7"/>
      <c r="K5" s="6" t="s">
        <v>23</v>
      </c>
      <c r="L5">
        <v>1</v>
      </c>
      <c r="N5" t="s">
        <v>23</v>
      </c>
      <c r="O5" s="7">
        <v>1</v>
      </c>
      <c r="S5" s="6" t="s">
        <v>5</v>
      </c>
      <c r="T5">
        <v>2015</v>
      </c>
      <c r="U5">
        <v>43</v>
      </c>
      <c r="V5" s="7">
        <v>6</v>
      </c>
      <c r="X5" s="7"/>
      <c r="AB5" s="6" t="s">
        <v>23</v>
      </c>
      <c r="AC5">
        <v>1</v>
      </c>
      <c r="AE5" t="s">
        <v>23</v>
      </c>
      <c r="AF5" s="7">
        <v>1</v>
      </c>
    </row>
    <row r="6" spans="2:32" ht="15.75" thickBot="1">
      <c r="B6" s="6" t="s">
        <v>6</v>
      </c>
      <c r="C6">
        <v>2014</v>
      </c>
      <c r="D6">
        <v>12</v>
      </c>
      <c r="E6" s="7">
        <v>12</v>
      </c>
      <c r="G6" s="7"/>
      <c r="K6" s="6" t="s">
        <v>24</v>
      </c>
      <c r="L6">
        <v>1</v>
      </c>
      <c r="N6" t="s">
        <v>24</v>
      </c>
      <c r="O6" s="7">
        <v>1</v>
      </c>
      <c r="S6" s="6" t="s">
        <v>6</v>
      </c>
      <c r="T6">
        <v>2014</v>
      </c>
      <c r="U6">
        <v>12</v>
      </c>
      <c r="V6" s="7">
        <v>12</v>
      </c>
      <c r="X6" s="7"/>
      <c r="AB6" s="6" t="s">
        <v>24</v>
      </c>
      <c r="AC6">
        <v>1</v>
      </c>
      <c r="AE6" t="s">
        <v>24</v>
      </c>
      <c r="AF6" s="7">
        <v>1</v>
      </c>
    </row>
    <row r="7" spans="2:32" ht="15.75" thickBot="1">
      <c r="B7" s="6" t="s">
        <v>7</v>
      </c>
      <c r="C7">
        <v>2015</v>
      </c>
      <c r="D7">
        <v>33</v>
      </c>
      <c r="E7" s="7">
        <v>15</v>
      </c>
      <c r="F7" s="118" t="s">
        <v>15</v>
      </c>
      <c r="G7" s="120"/>
      <c r="K7" s="6" t="s">
        <v>27</v>
      </c>
      <c r="L7">
        <v>1</v>
      </c>
      <c r="N7" t="s">
        <v>27</v>
      </c>
      <c r="O7" s="7">
        <v>1</v>
      </c>
      <c r="S7" s="6" t="s">
        <v>7</v>
      </c>
      <c r="T7">
        <v>2015</v>
      </c>
      <c r="U7">
        <v>33</v>
      </c>
      <c r="V7" s="7">
        <v>15</v>
      </c>
      <c r="W7" s="118" t="s">
        <v>15</v>
      </c>
      <c r="X7" s="120"/>
      <c r="AB7" s="6" t="s">
        <v>27</v>
      </c>
      <c r="AC7">
        <v>1</v>
      </c>
      <c r="AE7" t="s">
        <v>27</v>
      </c>
      <c r="AF7" s="7">
        <v>1</v>
      </c>
    </row>
    <row r="8" spans="2:32">
      <c r="B8" s="6" t="s">
        <v>5</v>
      </c>
      <c r="C8">
        <v>2014</v>
      </c>
      <c r="D8">
        <v>24</v>
      </c>
      <c r="E8" s="7">
        <v>24</v>
      </c>
      <c r="F8" s="6" t="s">
        <v>13</v>
      </c>
      <c r="G8" s="12">
        <v>60</v>
      </c>
      <c r="K8" s="16" t="s">
        <v>28</v>
      </c>
      <c r="L8" s="39"/>
      <c r="N8" s="17" t="s">
        <v>28</v>
      </c>
      <c r="O8" s="38"/>
      <c r="S8" s="6" t="s">
        <v>5</v>
      </c>
      <c r="T8">
        <v>2014</v>
      </c>
      <c r="U8">
        <v>24</v>
      </c>
      <c r="V8" s="7">
        <v>24</v>
      </c>
      <c r="W8" s="6" t="s">
        <v>13</v>
      </c>
      <c r="X8" s="12">
        <v>60</v>
      </c>
      <c r="AB8" s="16" t="s">
        <v>28</v>
      </c>
      <c r="AC8" s="39">
        <f>SUBTOTAL(109,AC5:AC7)</f>
        <v>3</v>
      </c>
      <c r="AE8" s="17" t="s">
        <v>28</v>
      </c>
      <c r="AF8" s="38">
        <f>_xlfn.AGGREGATE(9,5,AF5:AF7)</f>
        <v>3</v>
      </c>
    </row>
    <row r="9" spans="2:32" ht="15.75" thickBot="1">
      <c r="B9" s="6" t="s">
        <v>6</v>
      </c>
      <c r="C9">
        <v>2015</v>
      </c>
      <c r="D9">
        <v>32</v>
      </c>
      <c r="E9" s="7">
        <v>13</v>
      </c>
      <c r="F9" s="8" t="s">
        <v>14</v>
      </c>
      <c r="G9" s="13">
        <v>85</v>
      </c>
      <c r="K9" s="6" t="s">
        <v>29</v>
      </c>
      <c r="L9">
        <v>1</v>
      </c>
      <c r="N9" t="s">
        <v>29</v>
      </c>
      <c r="O9" s="7">
        <v>1</v>
      </c>
      <c r="S9" s="6" t="s">
        <v>6</v>
      </c>
      <c r="T9">
        <v>2015</v>
      </c>
      <c r="U9">
        <v>32</v>
      </c>
      <c r="V9" s="7">
        <v>13</v>
      </c>
      <c r="W9" s="8" t="s">
        <v>14</v>
      </c>
      <c r="X9" s="13">
        <v>85</v>
      </c>
      <c r="AB9" s="6" t="s">
        <v>29</v>
      </c>
      <c r="AC9">
        <v>1</v>
      </c>
      <c r="AE9" t="s">
        <v>29</v>
      </c>
      <c r="AF9" s="7">
        <v>1</v>
      </c>
    </row>
    <row r="10" spans="2:32">
      <c r="B10" s="6" t="s">
        <v>7</v>
      </c>
      <c r="C10">
        <v>2015</v>
      </c>
      <c r="D10">
        <v>16</v>
      </c>
      <c r="E10" s="7">
        <v>24</v>
      </c>
      <c r="G10" s="7"/>
      <c r="K10" s="6" t="s">
        <v>30</v>
      </c>
      <c r="L10">
        <v>1</v>
      </c>
      <c r="N10" t="s">
        <v>30</v>
      </c>
      <c r="O10" s="7">
        <v>1</v>
      </c>
      <c r="S10" s="6" t="s">
        <v>7</v>
      </c>
      <c r="T10">
        <v>2015</v>
      </c>
      <c r="U10">
        <v>16</v>
      </c>
      <c r="V10" s="7">
        <v>24</v>
      </c>
      <c r="X10" s="7"/>
      <c r="AB10" s="6" t="s">
        <v>30</v>
      </c>
      <c r="AC10">
        <v>1</v>
      </c>
      <c r="AE10" t="s">
        <v>30</v>
      </c>
      <c r="AF10" s="7">
        <v>1</v>
      </c>
    </row>
    <row r="11" spans="2:32">
      <c r="B11" s="6" t="s">
        <v>5</v>
      </c>
      <c r="C11">
        <v>2014</v>
      </c>
      <c r="D11">
        <v>29</v>
      </c>
      <c r="E11" s="7">
        <v>11</v>
      </c>
      <c r="G11" s="7"/>
      <c r="K11" s="6" t="s">
        <v>31</v>
      </c>
      <c r="L11">
        <v>1</v>
      </c>
      <c r="N11" t="s">
        <v>31</v>
      </c>
      <c r="O11" s="7">
        <v>1</v>
      </c>
      <c r="S11" s="6" t="s">
        <v>5</v>
      </c>
      <c r="T11">
        <v>2014</v>
      </c>
      <c r="U11">
        <v>29</v>
      </c>
      <c r="V11" s="7">
        <v>11</v>
      </c>
      <c r="X11" s="7"/>
      <c r="AB11" s="6" t="s">
        <v>31</v>
      </c>
      <c r="AC11">
        <v>1</v>
      </c>
      <c r="AE11" t="s">
        <v>31</v>
      </c>
      <c r="AF11" s="7">
        <v>1</v>
      </c>
    </row>
    <row r="12" spans="2:32">
      <c r="B12" s="6" t="s">
        <v>8</v>
      </c>
      <c r="C12">
        <v>2015</v>
      </c>
      <c r="D12">
        <v>36</v>
      </c>
      <c r="E12" s="7">
        <v>23</v>
      </c>
      <c r="G12" s="7"/>
      <c r="K12" s="16" t="s">
        <v>32</v>
      </c>
      <c r="L12" s="39"/>
      <c r="N12" s="17" t="s">
        <v>32</v>
      </c>
      <c r="O12" s="38"/>
      <c r="S12" s="6" t="s">
        <v>8</v>
      </c>
      <c r="T12">
        <v>2015</v>
      </c>
      <c r="U12">
        <v>36</v>
      </c>
      <c r="V12" s="7">
        <v>23</v>
      </c>
      <c r="X12" s="7"/>
      <c r="AB12" s="16" t="s">
        <v>32</v>
      </c>
      <c r="AC12" s="39">
        <f>SUBTOTAL(109,AC9:AC11)</f>
        <v>3</v>
      </c>
      <c r="AE12" s="17" t="s">
        <v>32</v>
      </c>
      <c r="AF12" s="38">
        <f>_xlfn.AGGREGATE(9,5,AF9:AF11)</f>
        <v>3</v>
      </c>
    </row>
    <row r="13" spans="2:32">
      <c r="B13" s="6" t="s">
        <v>9</v>
      </c>
      <c r="C13">
        <v>2014</v>
      </c>
      <c r="D13">
        <v>32</v>
      </c>
      <c r="E13" s="7">
        <v>33</v>
      </c>
      <c r="G13" s="7"/>
      <c r="K13" s="16" t="s">
        <v>33</v>
      </c>
      <c r="L13" s="36"/>
      <c r="N13" s="17" t="s">
        <v>33</v>
      </c>
      <c r="O13" s="37"/>
      <c r="S13" s="6" t="s">
        <v>9</v>
      </c>
      <c r="T13">
        <v>2014</v>
      </c>
      <c r="U13">
        <v>32</v>
      </c>
      <c r="V13" s="7">
        <v>33</v>
      </c>
      <c r="X13" s="7"/>
      <c r="AB13" s="16" t="s">
        <v>33</v>
      </c>
      <c r="AC13" s="36">
        <f>SUBTOTAL(109,AC5:AC12)</f>
        <v>6</v>
      </c>
      <c r="AE13" s="17" t="s">
        <v>33</v>
      </c>
      <c r="AF13" s="37">
        <f>_xlfn.AGGREGATE(9,,AF5:AF12)</f>
        <v>6</v>
      </c>
    </row>
    <row r="14" spans="2:32" ht="15.75" thickBot="1">
      <c r="B14" s="8" t="s">
        <v>6</v>
      </c>
      <c r="C14" s="9">
        <v>2015</v>
      </c>
      <c r="D14" s="9">
        <v>23</v>
      </c>
      <c r="E14" s="10">
        <v>21</v>
      </c>
      <c r="F14" s="9"/>
      <c r="G14" s="10"/>
      <c r="K14" s="8"/>
      <c r="L14" s="9"/>
      <c r="M14" s="9"/>
      <c r="N14" s="9"/>
      <c r="O14" s="10"/>
      <c r="S14" s="8" t="s">
        <v>6</v>
      </c>
      <c r="T14" s="9">
        <v>2015</v>
      </c>
      <c r="U14" s="9">
        <v>23</v>
      </c>
      <c r="V14" s="10">
        <v>21</v>
      </c>
      <c r="W14" s="9"/>
      <c r="X14" s="10"/>
      <c r="AB14" s="8"/>
      <c r="AC14" s="9"/>
      <c r="AD14" s="9"/>
      <c r="AE14" s="9"/>
      <c r="AF14" s="10"/>
    </row>
    <row r="15" spans="2:32" ht="15.75" thickBot="1"/>
    <row r="16" spans="2:32" ht="15.75" thickBot="1">
      <c r="B16" s="20" t="s">
        <v>17</v>
      </c>
      <c r="C16" s="11"/>
      <c r="D16" s="25"/>
      <c r="E16" s="25"/>
      <c r="F16" s="26"/>
      <c r="K16" s="118" t="s">
        <v>44</v>
      </c>
      <c r="L16" s="119"/>
      <c r="M16" s="119"/>
      <c r="N16" s="120"/>
      <c r="S16" s="20" t="s">
        <v>17</v>
      </c>
      <c r="T16" s="11"/>
      <c r="U16" s="25">
        <f>SUM(U4:U14)</f>
        <v>305</v>
      </c>
      <c r="V16" s="25">
        <f>SUM(V4:V14)</f>
        <v>194</v>
      </c>
      <c r="W16" s="26">
        <f>SUM(U4:V14)</f>
        <v>499</v>
      </c>
      <c r="AB16" s="118" t="s">
        <v>44</v>
      </c>
      <c r="AC16" s="119"/>
      <c r="AD16" s="119"/>
      <c r="AE16" s="120"/>
    </row>
    <row r="17" spans="2:31" ht="15.75" thickBot="1">
      <c r="K17" s="14" t="s">
        <v>36</v>
      </c>
      <c r="L17" s="2" t="s">
        <v>37</v>
      </c>
      <c r="M17" s="2" t="s">
        <v>38</v>
      </c>
      <c r="N17" s="40" t="s">
        <v>39</v>
      </c>
      <c r="AB17" s="14" t="s">
        <v>36</v>
      </c>
      <c r="AC17" s="2" t="s">
        <v>37</v>
      </c>
      <c r="AD17" s="2" t="s">
        <v>38</v>
      </c>
      <c r="AE17" s="40" t="s">
        <v>39</v>
      </c>
    </row>
    <row r="18" spans="2:31">
      <c r="B18" s="21" t="s">
        <v>19</v>
      </c>
      <c r="C18" s="52">
        <v>2015</v>
      </c>
      <c r="D18" s="27"/>
      <c r="E18" s="28"/>
      <c r="K18" s="6" t="s">
        <v>40</v>
      </c>
      <c r="L18" s="41">
        <v>0.38500000000000001</v>
      </c>
      <c r="M18" s="42">
        <v>799</v>
      </c>
      <c r="N18" s="51"/>
      <c r="S18" s="21" t="s">
        <v>19</v>
      </c>
      <c r="T18" s="52">
        <v>2015</v>
      </c>
      <c r="U18" s="27">
        <f>SUMIF($C$4:$C$14,2015,U4:U14)</f>
        <v>183</v>
      </c>
      <c r="V18" s="28">
        <f>SUMIF($C$4:$C$14,2015,V4:V14)</f>
        <v>102</v>
      </c>
      <c r="AB18" s="6" t="s">
        <v>40</v>
      </c>
      <c r="AC18" s="41">
        <v>0.38500000000000001</v>
      </c>
      <c r="AD18" s="42">
        <v>799</v>
      </c>
      <c r="AE18" s="51">
        <f>AC18*AD18</f>
        <v>307.61500000000001</v>
      </c>
    </row>
    <row r="19" spans="2:31" ht="15.75" thickBot="1">
      <c r="B19" s="22" t="s">
        <v>19</v>
      </c>
      <c r="C19" s="31" t="s">
        <v>20</v>
      </c>
      <c r="D19" s="29"/>
      <c r="E19" s="30"/>
      <c r="K19" s="6" t="s">
        <v>41</v>
      </c>
      <c r="L19" s="43">
        <v>10</v>
      </c>
      <c r="M19" s="44">
        <v>37.9</v>
      </c>
      <c r="N19" s="51"/>
      <c r="S19" s="22" t="s">
        <v>19</v>
      </c>
      <c r="T19" s="31" t="s">
        <v>20</v>
      </c>
      <c r="U19" s="29">
        <f>SUMIF(U4:U14,"&gt;30",U4:U14)</f>
        <v>176</v>
      </c>
      <c r="V19" s="30">
        <f>SUMIF(V4:V14,"&gt;30",V4:V14)</f>
        <v>33</v>
      </c>
      <c r="AB19" s="6" t="s">
        <v>41</v>
      </c>
      <c r="AC19" s="43">
        <v>10</v>
      </c>
      <c r="AD19" s="44">
        <v>37.9</v>
      </c>
      <c r="AE19" s="51">
        <f>AC19*AD19</f>
        <v>379</v>
      </c>
    </row>
    <row r="20" spans="2:31" ht="15.75" thickBot="1">
      <c r="K20" s="6" t="s">
        <v>42</v>
      </c>
      <c r="L20" s="41">
        <v>2.3E-2</v>
      </c>
      <c r="M20" s="45">
        <v>7999</v>
      </c>
      <c r="N20" s="51"/>
      <c r="AB20" s="6" t="s">
        <v>42</v>
      </c>
      <c r="AC20" s="41">
        <v>2.3E-2</v>
      </c>
      <c r="AD20" s="45">
        <v>7999</v>
      </c>
      <c r="AE20" s="51">
        <f>AC20*AD20</f>
        <v>183.977</v>
      </c>
    </row>
    <row r="21" spans="2:31" ht="15.75" thickBot="1">
      <c r="B21" s="20" t="s">
        <v>21</v>
      </c>
      <c r="C21" s="11"/>
      <c r="D21" s="25"/>
      <c r="E21" s="26"/>
      <c r="K21" s="6" t="s">
        <v>43</v>
      </c>
      <c r="L21" s="46">
        <v>1.5</v>
      </c>
      <c r="M21" s="47">
        <v>249</v>
      </c>
      <c r="N21" s="51"/>
      <c r="S21" s="20" t="s">
        <v>21</v>
      </c>
      <c r="T21" s="11"/>
      <c r="U21" s="117">
        <f>_xlfn.AGGREGATE(9,5,U4:U14)</f>
        <v>305</v>
      </c>
      <c r="V21" s="26">
        <f>_xlfn.AGGREGATE(9,5,V4:V14)</f>
        <v>194</v>
      </c>
      <c r="AB21" s="6" t="s">
        <v>43</v>
      </c>
      <c r="AC21" s="46">
        <v>1.5</v>
      </c>
      <c r="AD21" s="47">
        <v>249</v>
      </c>
      <c r="AE21" s="51">
        <f>AC21*AD21</f>
        <v>373.5</v>
      </c>
    </row>
    <row r="22" spans="2:31" ht="15.75" thickBot="1">
      <c r="K22" s="6"/>
      <c r="N22" s="7"/>
      <c r="AB22" s="6"/>
      <c r="AE22" s="7"/>
    </row>
    <row r="23" spans="2:31" ht="15.75" thickBot="1">
      <c r="B23" s="20" t="s">
        <v>22</v>
      </c>
      <c r="C23" s="11"/>
      <c r="D23" s="25"/>
      <c r="E23" s="26"/>
      <c r="K23" s="8" t="s">
        <v>45</v>
      </c>
      <c r="L23" s="128"/>
      <c r="M23" s="128"/>
      <c r="N23" s="129"/>
      <c r="S23" s="20" t="s">
        <v>22</v>
      </c>
      <c r="T23" s="11"/>
      <c r="U23" s="25">
        <f>SUBTOTAL(9,U4:U14)</f>
        <v>305</v>
      </c>
      <c r="V23" s="26">
        <f>SUBTOTAL(9,V4:V14)</f>
        <v>194</v>
      </c>
      <c r="AB23" s="8" t="s">
        <v>45</v>
      </c>
      <c r="AC23" s="130">
        <f>MROUND(SUM(AE18:AE21),5)</f>
        <v>1245</v>
      </c>
      <c r="AD23" s="130"/>
      <c r="AE23" s="131"/>
    </row>
    <row r="24" spans="2:31" ht="15.75" thickBot="1">
      <c r="AE24" s="116"/>
    </row>
    <row r="25" spans="2:31" ht="15.75" thickBot="1">
      <c r="B25" s="118" t="s">
        <v>16</v>
      </c>
      <c r="C25" s="119"/>
      <c r="D25" s="119"/>
      <c r="E25" s="119"/>
      <c r="F25" s="120"/>
      <c r="S25" s="118" t="s">
        <v>16</v>
      </c>
      <c r="T25" s="119"/>
      <c r="U25" s="119"/>
      <c r="V25" s="119"/>
      <c r="W25" s="120"/>
    </row>
    <row r="26" spans="2:31">
      <c r="B26" s="125" t="s">
        <v>10</v>
      </c>
      <c r="C26" s="123">
        <v>2014</v>
      </c>
      <c r="D26" s="32" t="s">
        <v>11</v>
      </c>
      <c r="E26" s="55"/>
      <c r="F26" s="7" t="s">
        <v>18</v>
      </c>
      <c r="S26" s="125" t="s">
        <v>10</v>
      </c>
      <c r="T26" s="123">
        <v>2014</v>
      </c>
      <c r="U26" s="32" t="s">
        <v>11</v>
      </c>
      <c r="V26" s="55">
        <f>$G$9*SUMIFS($D$4:$D$14,$B$4:$B$14,"G1BG*",$C$4:$C$14,2014)+$G$8*SUMIFS($E$4:$E$14,$B$4:$B$14,"G1BG*",$C$4:$C$14,2014)</f>
        <v>4585</v>
      </c>
      <c r="W26" s="7" t="s">
        <v>18</v>
      </c>
    </row>
    <row r="27" spans="2:31">
      <c r="B27" s="126"/>
      <c r="C27" s="124"/>
      <c r="D27" s="54" t="s">
        <v>12</v>
      </c>
      <c r="E27" s="56"/>
      <c r="F27" s="7" t="s">
        <v>18</v>
      </c>
      <c r="S27" s="126"/>
      <c r="T27" s="124"/>
      <c r="U27" s="54" t="s">
        <v>12</v>
      </c>
      <c r="V27" s="56">
        <f>$G$9*SUMIFS($D$4:$D$14,$B$4:$B$14,"G1BM*",$C$4:$C$14,2014)+$G$8*SUMIFS($E$4:$E$14,$B$4:$B$14,"G1BM*",$C$4:$C$14,2014)</f>
        <v>11305</v>
      </c>
      <c r="W27" s="7" t="s">
        <v>18</v>
      </c>
    </row>
    <row r="28" spans="2:31">
      <c r="B28" s="126"/>
      <c r="C28" s="121">
        <v>2015</v>
      </c>
      <c r="D28" s="53" t="s">
        <v>11</v>
      </c>
      <c r="E28" s="57"/>
      <c r="F28" s="7" t="s">
        <v>18</v>
      </c>
      <c r="S28" s="126"/>
      <c r="T28" s="121">
        <v>2015</v>
      </c>
      <c r="U28" s="53" t="s">
        <v>11</v>
      </c>
      <c r="V28" s="57">
        <f>$G$9*SUMIFS($D$4:$D$14,$B$4:$B$14,"G1BG*",$C$4:$C$14,2015)+$G$8*SUMIFS($E$4:$E$14,$B$4:$B$14,"G1BG*",$C$4:$C$14,2015)</f>
        <v>11155</v>
      </c>
      <c r="W28" s="7" t="s">
        <v>18</v>
      </c>
    </row>
    <row r="29" spans="2:31" ht="15.75" thickBot="1">
      <c r="B29" s="127"/>
      <c r="C29" s="122"/>
      <c r="D29" s="33" t="s">
        <v>12</v>
      </c>
      <c r="E29" s="58"/>
      <c r="F29" s="10" t="s">
        <v>18</v>
      </c>
      <c r="S29" s="127"/>
      <c r="T29" s="122"/>
      <c r="U29" s="33" t="s">
        <v>12</v>
      </c>
      <c r="V29" s="58">
        <f>$G$9*SUMIFS($D$4:$D$14,$B$4:$B$14,"G1BM*",$C$4:$C$14,2015)+$G$8*SUMIFS($E$4:$E$14,$B$4:$B$14,"G1BM*",$C$4:$C$14,2015)</f>
        <v>10520</v>
      </c>
      <c r="W29" s="10" t="s">
        <v>18</v>
      </c>
    </row>
    <row r="30" spans="2:31" ht="15.75" thickBot="1"/>
    <row r="31" spans="2:31" ht="15.75" thickBot="1">
      <c r="B31" s="20" t="s">
        <v>35</v>
      </c>
      <c r="C31" s="34">
        <v>1</v>
      </c>
      <c r="D31" s="35">
        <v>200</v>
      </c>
      <c r="E31" s="24"/>
      <c r="S31" s="20" t="s">
        <v>35</v>
      </c>
      <c r="T31" s="34">
        <v>1</v>
      </c>
      <c r="U31" s="35">
        <v>200</v>
      </c>
      <c r="V31" s="24">
        <f ca="1">RANDBETWEEN(T31,U31)</f>
        <v>90</v>
      </c>
    </row>
  </sheetData>
  <mergeCells count="18">
    <mergeCell ref="AB16:AE16"/>
    <mergeCell ref="C28:C29"/>
    <mergeCell ref="C26:C27"/>
    <mergeCell ref="B25:F25"/>
    <mergeCell ref="F7:G7"/>
    <mergeCell ref="B26:B29"/>
    <mergeCell ref="K16:N16"/>
    <mergeCell ref="L23:N23"/>
    <mergeCell ref="AC23:AE23"/>
    <mergeCell ref="S25:W25"/>
    <mergeCell ref="S26:S29"/>
    <mergeCell ref="T26:T27"/>
    <mergeCell ref="T28:T29"/>
    <mergeCell ref="K3:L3"/>
    <mergeCell ref="N3:O3"/>
    <mergeCell ref="AB3:AC3"/>
    <mergeCell ref="AE3:AF3"/>
    <mergeCell ref="W7:X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438A-EACE-4DB0-B7E9-306E49A1C210}">
  <dimension ref="A1:S36"/>
  <sheetViews>
    <sheetView zoomScale="85" zoomScaleNormal="85" workbookViewId="0"/>
  </sheetViews>
  <sheetFormatPr defaultRowHeight="15"/>
  <cols>
    <col min="2" max="2" width="17.42578125" customWidth="1"/>
    <col min="5" max="5" width="14.7109375" bestFit="1" customWidth="1"/>
    <col min="8" max="8" width="11.140625" bestFit="1" customWidth="1"/>
    <col min="9" max="9" width="12.140625" customWidth="1"/>
    <col min="10" max="10" width="11.28515625" customWidth="1"/>
    <col min="11" max="11" width="11.42578125" customWidth="1"/>
    <col min="13" max="13" width="12.28515625" customWidth="1"/>
    <col min="14" max="14" width="10.7109375" customWidth="1"/>
    <col min="15" max="15" width="17.7109375" customWidth="1"/>
    <col min="16" max="16" width="12.28515625" customWidth="1"/>
    <col min="18" max="18" width="16" customWidth="1"/>
    <col min="19" max="19" width="17.5703125" customWidth="1"/>
    <col min="20" max="20" width="16.140625" customWidth="1"/>
  </cols>
  <sheetData>
    <row r="1" spans="1:19">
      <c r="A1" s="60"/>
    </row>
    <row r="4" spans="1:19" ht="15.75" thickBot="1"/>
    <row r="5" spans="1:19" ht="15.75" thickBot="1">
      <c r="B5" s="175" t="s">
        <v>60</v>
      </c>
      <c r="C5" s="176"/>
      <c r="D5" s="176"/>
      <c r="E5" s="176"/>
      <c r="F5" s="177"/>
      <c r="H5" s="118" t="s">
        <v>54</v>
      </c>
      <c r="I5" s="119"/>
      <c r="J5" s="119"/>
      <c r="K5" s="119"/>
      <c r="L5" s="119"/>
      <c r="M5" s="120"/>
      <c r="O5" s="118" t="s">
        <v>63</v>
      </c>
      <c r="P5" s="119"/>
      <c r="Q5" s="119"/>
      <c r="R5" s="119"/>
      <c r="S5" s="120"/>
    </row>
    <row r="6" spans="1:19" ht="17.25">
      <c r="B6" s="178"/>
      <c r="C6" s="179"/>
      <c r="D6" s="179"/>
      <c r="E6" s="179"/>
      <c r="F6" s="180"/>
      <c r="H6" s="167" t="s">
        <v>46</v>
      </c>
      <c r="I6" s="168"/>
      <c r="J6" s="168"/>
      <c r="K6" s="168"/>
      <c r="L6" s="168"/>
      <c r="M6" s="61">
        <f>SEARCH("1500",$B$5)</f>
        <v>108</v>
      </c>
      <c r="O6" s="155" t="s">
        <v>61</v>
      </c>
      <c r="P6" s="156"/>
      <c r="Q6" s="156"/>
      <c r="R6" s="156"/>
      <c r="S6" s="68" t="str">
        <f>MID(B5,SEARCH("""",B5)+1,5)</f>
        <v>Lorem</v>
      </c>
    </row>
    <row r="7" spans="1:19" ht="17.25">
      <c r="B7" s="178"/>
      <c r="C7" s="179"/>
      <c r="D7" s="179"/>
      <c r="E7" s="179"/>
      <c r="F7" s="180"/>
      <c r="H7" s="169" t="s">
        <v>47</v>
      </c>
      <c r="I7" s="170"/>
      <c r="J7" s="170"/>
      <c r="K7" s="170"/>
      <c r="L7" s="171"/>
      <c r="M7" s="62">
        <f>SEARCH("Lorem",$B$5,110)</f>
        <v>434</v>
      </c>
      <c r="O7" s="155" t="s">
        <v>62</v>
      </c>
      <c r="P7" s="156"/>
      <c r="Q7" s="156"/>
      <c r="R7" s="156"/>
      <c r="S7" s="68" t="str">
        <f>MID(B5,SEARCH("""",B5)+1,SEARCH("""",B5,SEARCH("""",B5)+1)-SEARCH("""",B5)-1)</f>
        <v>Lorem Ipsum</v>
      </c>
    </row>
    <row r="8" spans="1:19">
      <c r="B8" s="178"/>
      <c r="C8" s="179"/>
      <c r="D8" s="179"/>
      <c r="E8" s="179"/>
      <c r="F8" s="180"/>
      <c r="H8" s="157" t="s">
        <v>48</v>
      </c>
      <c r="I8" s="158"/>
      <c r="J8" s="158"/>
      <c r="K8">
        <v>1500</v>
      </c>
      <c r="L8" t="s">
        <v>49</v>
      </c>
      <c r="M8" s="63">
        <f>SEARCH(K8,$B$5)</f>
        <v>108</v>
      </c>
      <c r="O8" s="6"/>
      <c r="S8" s="7"/>
    </row>
    <row r="9" spans="1:19" ht="14.25" customHeight="1" thickBot="1">
      <c r="B9" s="178"/>
      <c r="C9" s="179"/>
      <c r="D9" s="179"/>
      <c r="E9" s="179"/>
      <c r="F9" s="180"/>
      <c r="H9" s="164" t="s">
        <v>56</v>
      </c>
      <c r="I9" s="165"/>
      <c r="J9" s="165"/>
      <c r="K9" s="165"/>
      <c r="L9" s="166"/>
      <c r="M9" s="64">
        <f>SEARCH("lorem",$B$5,110)</f>
        <v>434</v>
      </c>
      <c r="O9" s="8"/>
      <c r="P9" s="9"/>
      <c r="Q9" s="9"/>
      <c r="R9" s="9"/>
      <c r="S9" s="10"/>
    </row>
    <row r="10" spans="1:19">
      <c r="B10" s="178"/>
      <c r="C10" s="179"/>
      <c r="D10" s="179"/>
      <c r="E10" s="179"/>
      <c r="F10" s="180"/>
    </row>
    <row r="11" spans="1:19" ht="15.75" thickBot="1">
      <c r="B11" s="178"/>
      <c r="C11" s="179"/>
      <c r="D11" s="179"/>
      <c r="E11" s="179"/>
      <c r="F11" s="180"/>
    </row>
    <row r="12" spans="1:19" ht="15.75" thickBot="1">
      <c r="B12" s="178"/>
      <c r="C12" s="179"/>
      <c r="D12" s="179"/>
      <c r="E12" s="179"/>
      <c r="F12" s="180"/>
      <c r="H12" s="118" t="s">
        <v>55</v>
      </c>
      <c r="I12" s="119"/>
      <c r="J12" s="119"/>
      <c r="K12" s="119"/>
      <c r="L12" s="119"/>
      <c r="M12" s="120"/>
      <c r="O12" s="118" t="s">
        <v>69</v>
      </c>
      <c r="P12" s="119"/>
      <c r="Q12" s="75"/>
      <c r="R12" s="118" t="s">
        <v>71</v>
      </c>
      <c r="S12" s="120"/>
    </row>
    <row r="13" spans="1:19">
      <c r="B13" s="178"/>
      <c r="C13" s="179"/>
      <c r="D13" s="179"/>
      <c r="E13" s="179"/>
      <c r="F13" s="180"/>
      <c r="H13" s="157" t="s">
        <v>46</v>
      </c>
      <c r="I13" s="158"/>
      <c r="J13" s="158"/>
      <c r="K13" s="158"/>
      <c r="L13" s="158"/>
      <c r="M13" s="61">
        <f>FIND("1500",$B$5)</f>
        <v>108</v>
      </c>
      <c r="O13" s="6"/>
      <c r="P13" s="66" t="s">
        <v>70</v>
      </c>
      <c r="Q13" s="7"/>
      <c r="R13" s="6"/>
      <c r="S13" s="7" t="s">
        <v>72</v>
      </c>
    </row>
    <row r="14" spans="1:19">
      <c r="B14" s="178"/>
      <c r="C14" s="179"/>
      <c r="D14" s="179"/>
      <c r="E14" s="179"/>
      <c r="F14" s="180"/>
      <c r="H14" s="159" t="s">
        <v>47</v>
      </c>
      <c r="I14" s="160"/>
      <c r="J14" s="160"/>
      <c r="K14" s="160"/>
      <c r="L14" s="161"/>
      <c r="M14" s="62">
        <f>FIND("Lorem",$B$5,110)</f>
        <v>434</v>
      </c>
      <c r="O14" s="6" t="s">
        <v>64</v>
      </c>
      <c r="P14" s="69" t="str">
        <f>LEFT(O14,4)</f>
        <v>8127</v>
      </c>
      <c r="Q14" s="7"/>
      <c r="R14" s="6">
        <v>36701234567</v>
      </c>
      <c r="S14" s="38" t="str">
        <f>RIGHT(R14,9)</f>
        <v>701234567</v>
      </c>
    </row>
    <row r="15" spans="1:19" ht="15.75" thickBot="1">
      <c r="B15" s="181"/>
      <c r="C15" s="182"/>
      <c r="D15" s="182"/>
      <c r="E15" s="182"/>
      <c r="F15" s="183"/>
      <c r="H15" s="162" t="s">
        <v>56</v>
      </c>
      <c r="I15" s="163"/>
      <c r="J15" s="163"/>
      <c r="K15" s="163"/>
      <c r="L15" s="163"/>
      <c r="M15" s="64" t="e">
        <f>FIND("lorem",$B$5,110)</f>
        <v>#VALUE!</v>
      </c>
      <c r="O15" s="6" t="s">
        <v>65</v>
      </c>
      <c r="P15" s="69" t="str">
        <f t="shared" ref="P15:P18" si="0">LEFT(O15,4)</f>
        <v>5241</v>
      </c>
      <c r="Q15" s="7"/>
      <c r="R15" s="6">
        <v>36207498735</v>
      </c>
      <c r="S15" s="38" t="str">
        <f t="shared" ref="S15:S18" si="1">RIGHT(R15,9)</f>
        <v>207498735</v>
      </c>
    </row>
    <row r="16" spans="1:19">
      <c r="B16" s="59"/>
      <c r="C16" s="59"/>
      <c r="D16" s="59"/>
      <c r="E16" s="59"/>
      <c r="F16" s="59"/>
      <c r="O16" s="6" t="s">
        <v>66</v>
      </c>
      <c r="P16" s="69" t="str">
        <f t="shared" si="0"/>
        <v>7678</v>
      </c>
      <c r="Q16" s="7"/>
      <c r="R16" s="6">
        <v>36703664961</v>
      </c>
      <c r="S16" s="38" t="str">
        <f t="shared" si="1"/>
        <v>703664961</v>
      </c>
    </row>
    <row r="17" spans="2:19" ht="15.75" thickBot="1">
      <c r="B17" s="59"/>
      <c r="C17" s="59"/>
      <c r="D17" s="59"/>
      <c r="E17" s="59"/>
      <c r="F17" s="59"/>
      <c r="O17" s="6" t="s">
        <v>67</v>
      </c>
      <c r="P17" s="69" t="str">
        <f t="shared" si="0"/>
        <v>3261</v>
      </c>
      <c r="Q17" s="7"/>
      <c r="R17" s="6">
        <v>36707759983</v>
      </c>
      <c r="S17" s="38" t="str">
        <f t="shared" si="1"/>
        <v>707759983</v>
      </c>
    </row>
    <row r="18" spans="2:19" ht="16.5" customHeight="1" thickBot="1">
      <c r="B18" s="118" t="s">
        <v>50</v>
      </c>
      <c r="C18" s="119"/>
      <c r="D18" s="119"/>
      <c r="E18" s="119"/>
      <c r="F18" s="120"/>
      <c r="H18" s="118" t="s">
        <v>51</v>
      </c>
      <c r="I18" s="119"/>
      <c r="J18" s="119"/>
      <c r="K18" s="119"/>
      <c r="L18" s="119"/>
      <c r="M18" s="120"/>
      <c r="O18" s="8" t="s">
        <v>68</v>
      </c>
      <c r="P18" s="70" t="str">
        <f t="shared" si="0"/>
        <v>3882</v>
      </c>
      <c r="Q18" s="10"/>
      <c r="R18" s="8">
        <v>36203334775</v>
      </c>
      <c r="S18" s="71" t="str">
        <f t="shared" si="1"/>
        <v>203334775</v>
      </c>
    </row>
    <row r="19" spans="2:19" ht="31.5" customHeight="1" thickBot="1">
      <c r="B19" s="184" t="str">
        <f>REPLACE(B5,SEARCH(K8,B5),6,"1600")</f>
        <v>A Lorem Ipsum egy egyszerû szövegrészlete, szövegutánzata a betûszedõ és nyomdaiparnak. A "Lorem Ipsum" az 1600s évek óta standard szövegrészletként szolgált az iparban; mikor egy ismeretlen nyomdász összeállította a betûkészletét és egy példa-könyvet vagy szöveget nyomott papírra, ezt használta. Nem csak 5 évszázadot élt túl, de az elektronikus betûkészleteknél is változatlanul megmaradt. Az 1960-as években népszerûsítették a Lorem Ipsum részleteket magukbafoglaló Letraset lapokkal, és legutóbb softwarekkel mint például az Aldus Pagemaker.</v>
      </c>
      <c r="C19" s="185"/>
      <c r="D19" s="185"/>
      <c r="E19" s="185"/>
      <c r="F19" s="186"/>
      <c r="H19" s="144" t="s">
        <v>57</v>
      </c>
      <c r="I19" s="145"/>
      <c r="J19" s="145"/>
      <c r="K19" s="145"/>
      <c r="L19" s="145"/>
      <c r="M19" s="146"/>
      <c r="P19" s="66"/>
    </row>
    <row r="20" spans="2:19" ht="33" customHeight="1" thickBot="1">
      <c r="B20" s="187"/>
      <c r="C20" s="188"/>
      <c r="D20" s="188"/>
      <c r="E20" s="188"/>
      <c r="F20" s="189"/>
      <c r="H20" s="172" t="str">
        <f>LOWER(H19)</f>
        <v xml:space="preserve">a lorem ipsum egy egyszerû szövegrészlete, szövegutánzata a betûszedõ és nyomdaiparnak. </v>
      </c>
      <c r="I20" s="173"/>
      <c r="J20" s="173"/>
      <c r="K20" s="173"/>
      <c r="L20" s="173"/>
      <c r="M20" s="174"/>
      <c r="O20" s="136" t="s">
        <v>86</v>
      </c>
      <c r="P20" s="137"/>
      <c r="Q20" s="137"/>
      <c r="R20" s="138"/>
    </row>
    <row r="21" spans="2:19" ht="15.75" thickBot="1">
      <c r="B21" s="187"/>
      <c r="C21" s="188"/>
      <c r="D21" s="188"/>
      <c r="E21" s="188"/>
      <c r="F21" s="189"/>
      <c r="O21" s="118" t="s">
        <v>85</v>
      </c>
      <c r="P21" s="119"/>
      <c r="Q21" s="11"/>
      <c r="R21" s="74">
        <f>LEN(B5)</f>
        <v>548</v>
      </c>
    </row>
    <row r="22" spans="2:19" ht="15.75" thickBot="1">
      <c r="B22" s="187"/>
      <c r="C22" s="188"/>
      <c r="D22" s="188"/>
      <c r="E22" s="188"/>
      <c r="F22" s="189"/>
      <c r="H22" s="118" t="s">
        <v>52</v>
      </c>
      <c r="I22" s="119"/>
      <c r="J22" s="119"/>
      <c r="K22" s="119"/>
      <c r="L22" s="119"/>
      <c r="M22" s="120"/>
    </row>
    <row r="23" spans="2:19" ht="27.75" customHeight="1" thickBot="1">
      <c r="B23" s="187"/>
      <c r="C23" s="188"/>
      <c r="D23" s="188"/>
      <c r="E23" s="188"/>
      <c r="F23" s="189"/>
      <c r="H23" s="144" t="s">
        <v>57</v>
      </c>
      <c r="I23" s="145"/>
      <c r="J23" s="145"/>
      <c r="K23" s="145"/>
      <c r="L23" s="145"/>
      <c r="M23" s="146"/>
      <c r="O23" s="118" t="s">
        <v>88</v>
      </c>
      <c r="P23" s="119"/>
      <c r="Q23" s="119"/>
      <c r="R23" s="120"/>
    </row>
    <row r="24" spans="2:19" ht="30.75" customHeight="1" thickBot="1">
      <c r="B24" s="190"/>
      <c r="C24" s="191"/>
      <c r="D24" s="191"/>
      <c r="E24" s="191"/>
      <c r="F24" s="192"/>
      <c r="H24" s="150" t="str">
        <f>UPPER(H23)</f>
        <v xml:space="preserve">A LOREM IPSUM EGY EGYSZERÛ SZÖVEGRÉSZLETE, SZÖVEGUTÁNZATA A BETÛSZEDÕ ÉS NYOMDAIPARNAK. </v>
      </c>
      <c r="I24" s="151"/>
      <c r="J24" s="151"/>
      <c r="K24" s="151"/>
      <c r="L24" s="151"/>
      <c r="M24" s="152"/>
      <c r="O24" s="139" t="s">
        <v>87</v>
      </c>
      <c r="P24" s="140"/>
      <c r="Q24" s="128" t="str">
        <f>TRIM(O24)</f>
        <v>ez sok szóköz</v>
      </c>
      <c r="R24" s="129"/>
    </row>
    <row r="25" spans="2:19" ht="15.75" thickBot="1"/>
    <row r="26" spans="2:19" ht="15.75" thickBot="1">
      <c r="H26" s="118" t="s">
        <v>53</v>
      </c>
      <c r="I26" s="119"/>
      <c r="J26" s="119"/>
      <c r="K26" s="119"/>
      <c r="L26" s="119"/>
      <c r="M26" s="120"/>
    </row>
    <row r="27" spans="2:19" ht="18" thickBot="1">
      <c r="B27" s="118" t="s">
        <v>89</v>
      </c>
      <c r="C27" s="119"/>
      <c r="D27" s="119"/>
      <c r="E27" s="119"/>
      <c r="F27" s="120"/>
      <c r="H27" s="144" t="s">
        <v>58</v>
      </c>
      <c r="I27" s="145"/>
      <c r="J27" s="145"/>
      <c r="K27" s="145"/>
      <c r="L27" s="145"/>
      <c r="M27" s="146"/>
      <c r="O27" s="65"/>
    </row>
    <row r="28" spans="2:19" ht="15" customHeight="1">
      <c r="B28" s="184" t="str">
        <f>SUBSTITUTE(B5,"Lorem Ipsum","Excel")</f>
        <v>A Excel egy egyszerû szövegrészlete, szövegutánzata a betûszedõ és nyomdaiparnak. A "Excel" az 1500-as évek óta standard szövegrészletként szolgált az iparban; mikor egy ismeretlen nyomdász összeállította a betûkészletét és egy példa-könyvet vagy szöveget nyomott papírra, ezt használta. Nem csak 5 évszázadot élt túl, de az elektronikus betûkészleteknél is változatlanul megmaradt. Az 1960-as években népszerûsítették a Excel részleteket magukbafoglaló Letraset lapokkal, és legutóbb softwarekkel mint például az Aldus Pagemaker.</v>
      </c>
      <c r="C28" s="185"/>
      <c r="D28" s="185"/>
      <c r="E28" s="185"/>
      <c r="F28" s="186"/>
      <c r="H28" s="147" t="s">
        <v>59</v>
      </c>
      <c r="I28" s="148"/>
      <c r="J28" s="148"/>
      <c r="K28" s="148"/>
      <c r="L28" s="148"/>
      <c r="M28" s="149"/>
    </row>
    <row r="29" spans="2:19" ht="34.5" customHeight="1" thickBot="1">
      <c r="B29" s="187"/>
      <c r="C29" s="188"/>
      <c r="D29" s="188"/>
      <c r="E29" s="188"/>
      <c r="F29" s="189"/>
      <c r="H29" s="141" t="str">
        <f>CONCATENATE(H27,H28)</f>
        <v xml:space="preserve">A Lorem Ipsum egy egyszerû szövegrészlete, szövegutánzata a betûszedõ és nyomdaiparnak. </v>
      </c>
      <c r="I29" s="142"/>
      <c r="J29" s="142"/>
      <c r="K29" s="142"/>
      <c r="L29" s="142"/>
      <c r="M29" s="143"/>
    </row>
    <row r="30" spans="2:19">
      <c r="B30" s="187"/>
      <c r="C30" s="188"/>
      <c r="D30" s="188"/>
      <c r="E30" s="188"/>
      <c r="F30" s="189"/>
      <c r="H30" s="3"/>
      <c r="I30" s="132" t="s">
        <v>78</v>
      </c>
      <c r="J30" s="134" t="s">
        <v>84</v>
      </c>
      <c r="K30" s="4"/>
      <c r="L30" s="4"/>
      <c r="M30" s="5"/>
    </row>
    <row r="31" spans="2:19">
      <c r="B31" s="187"/>
      <c r="C31" s="188"/>
      <c r="D31" s="188"/>
      <c r="E31" s="188"/>
      <c r="F31" s="189"/>
      <c r="H31" s="6"/>
      <c r="I31" s="133"/>
      <c r="J31" s="135"/>
      <c r="M31" s="7"/>
    </row>
    <row r="32" spans="2:19">
      <c r="B32" s="187"/>
      <c r="C32" s="188"/>
      <c r="D32" s="188"/>
      <c r="E32" s="188"/>
      <c r="F32" s="189"/>
      <c r="H32" s="6" t="s">
        <v>73</v>
      </c>
      <c r="I32" s="39" t="str">
        <f>CONCATENATE("Dr. ",H32)</f>
        <v>Dr. József</v>
      </c>
      <c r="J32" s="39" t="str">
        <f>"Dr. "&amp;H32</f>
        <v>Dr. József</v>
      </c>
      <c r="K32" t="s">
        <v>79</v>
      </c>
      <c r="L32" s="153" t="str">
        <f>H32&amp;" ("&amp;K32&amp;")"</f>
        <v>József (Miskolc)</v>
      </c>
      <c r="M32" s="154"/>
    </row>
    <row r="33" spans="2:13">
      <c r="B33" s="187"/>
      <c r="C33" s="188"/>
      <c r="D33" s="188"/>
      <c r="E33" s="188"/>
      <c r="F33" s="189"/>
      <c r="H33" s="6" t="s">
        <v>74</v>
      </c>
      <c r="I33" s="39" t="str">
        <f t="shared" ref="I33:I35" si="2">CONCATENATE("Dr. ",H33)</f>
        <v>Dr. Béla</v>
      </c>
      <c r="J33" s="39" t="str">
        <f t="shared" ref="J33:J36" si="3">"Dr. "&amp;H33</f>
        <v>Dr. Béla</v>
      </c>
      <c r="K33" t="s">
        <v>80</v>
      </c>
      <c r="L33" s="153" t="str">
        <f t="shared" ref="L33:L36" si="4">H33&amp;" ("&amp;K33&amp;")"</f>
        <v>Béla (Pest)</v>
      </c>
      <c r="M33" s="154"/>
    </row>
    <row r="34" spans="2:13">
      <c r="B34" s="187"/>
      <c r="C34" s="188"/>
      <c r="D34" s="188"/>
      <c r="E34" s="188"/>
      <c r="F34" s="189"/>
      <c r="H34" s="6" t="s">
        <v>75</v>
      </c>
      <c r="I34" s="39" t="str">
        <f t="shared" si="2"/>
        <v>Dr. Ludmilla</v>
      </c>
      <c r="J34" s="39" t="str">
        <f t="shared" si="3"/>
        <v>Dr. Ludmilla</v>
      </c>
      <c r="K34" t="s">
        <v>81</v>
      </c>
      <c r="L34" s="153" t="str">
        <f t="shared" si="4"/>
        <v>Ludmilla (Pécs)</v>
      </c>
      <c r="M34" s="154"/>
    </row>
    <row r="35" spans="2:13">
      <c r="B35" s="187"/>
      <c r="C35" s="188"/>
      <c r="D35" s="188"/>
      <c r="E35" s="188"/>
      <c r="F35" s="189"/>
      <c r="H35" s="6" t="s">
        <v>76</v>
      </c>
      <c r="I35" s="39" t="str">
        <f t="shared" si="2"/>
        <v>Dr. Ferenc</v>
      </c>
      <c r="J35" s="39" t="str">
        <f t="shared" si="3"/>
        <v>Dr. Ferenc</v>
      </c>
      <c r="K35" t="s">
        <v>82</v>
      </c>
      <c r="L35" s="153" t="str">
        <f t="shared" si="4"/>
        <v>Ferenc (Decrecen)</v>
      </c>
      <c r="M35" s="154"/>
    </row>
    <row r="36" spans="2:13" ht="15.75" thickBot="1">
      <c r="B36" s="190"/>
      <c r="C36" s="191"/>
      <c r="D36" s="191"/>
      <c r="E36" s="191"/>
      <c r="F36" s="192"/>
      <c r="H36" s="8" t="s">
        <v>77</v>
      </c>
      <c r="I36" s="67" t="str">
        <f>CONCATENATE("Dr. ",H36)</f>
        <v>Dr. Mária</v>
      </c>
      <c r="J36" s="67" t="str">
        <f t="shared" si="3"/>
        <v>Dr. Mária</v>
      </c>
      <c r="K36" s="9" t="s">
        <v>83</v>
      </c>
      <c r="L36" s="128" t="str">
        <f t="shared" si="4"/>
        <v>Mária (Győr)</v>
      </c>
      <c r="M36" s="129"/>
    </row>
  </sheetData>
  <mergeCells count="41">
    <mergeCell ref="B5:F15"/>
    <mergeCell ref="B18:F18"/>
    <mergeCell ref="B19:F24"/>
    <mergeCell ref="B27:F27"/>
    <mergeCell ref="B28:F36"/>
    <mergeCell ref="H18:M18"/>
    <mergeCell ref="H19:M19"/>
    <mergeCell ref="H20:M20"/>
    <mergeCell ref="H22:M22"/>
    <mergeCell ref="H23:M23"/>
    <mergeCell ref="H5:M5"/>
    <mergeCell ref="H12:M12"/>
    <mergeCell ref="H13:L13"/>
    <mergeCell ref="H14:L14"/>
    <mergeCell ref="H15:L15"/>
    <mergeCell ref="H9:L9"/>
    <mergeCell ref="H6:L6"/>
    <mergeCell ref="H7:L7"/>
    <mergeCell ref="H8:J8"/>
    <mergeCell ref="O12:P12"/>
    <mergeCell ref="R12:S12"/>
    <mergeCell ref="O6:R6"/>
    <mergeCell ref="O7:R7"/>
    <mergeCell ref="O5:S5"/>
    <mergeCell ref="L32:M32"/>
    <mergeCell ref="L33:M33"/>
    <mergeCell ref="L34:M34"/>
    <mergeCell ref="L35:M35"/>
    <mergeCell ref="L36:M36"/>
    <mergeCell ref="I30:I31"/>
    <mergeCell ref="J30:J31"/>
    <mergeCell ref="O21:P21"/>
    <mergeCell ref="O20:R20"/>
    <mergeCell ref="O24:P24"/>
    <mergeCell ref="Q24:R24"/>
    <mergeCell ref="O23:R23"/>
    <mergeCell ref="H29:M29"/>
    <mergeCell ref="H27:M27"/>
    <mergeCell ref="H28:M28"/>
    <mergeCell ref="H24:M24"/>
    <mergeCell ref="H26:M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26F76-9EE4-4216-B3AB-8FD273AD7C60}">
  <dimension ref="A1:J41"/>
  <sheetViews>
    <sheetView workbookViewId="0">
      <selection activeCell="H6" sqref="H6"/>
    </sheetView>
  </sheetViews>
  <sheetFormatPr defaultRowHeight="15"/>
  <cols>
    <col min="2" max="2" width="17.7109375" customWidth="1"/>
    <col min="3" max="3" width="11.140625" customWidth="1"/>
    <col min="6" max="6" width="13" customWidth="1"/>
    <col min="7" max="7" width="10.5703125" customWidth="1"/>
    <col min="11" max="11" width="12.42578125" customWidth="1"/>
  </cols>
  <sheetData>
    <row r="1" spans="1:10" ht="15.75" thickBot="1">
      <c r="A1" s="1"/>
    </row>
    <row r="2" spans="1:10" ht="15.75" thickBot="1">
      <c r="B2" s="193">
        <v>45015.857314814813</v>
      </c>
      <c r="C2" s="120"/>
    </row>
    <row r="3" spans="1:10">
      <c r="B3" s="6" t="s">
        <v>90</v>
      </c>
      <c r="C3" s="90">
        <f>TIME(20,34,32)</f>
        <v>0.85731481481481486</v>
      </c>
    </row>
    <row r="4" spans="1:10">
      <c r="B4" s="6" t="s">
        <v>91</v>
      </c>
      <c r="C4" s="91">
        <f>YEAR(B2)</f>
        <v>2023</v>
      </c>
    </row>
    <row r="5" spans="1:10">
      <c r="B5" s="6" t="s">
        <v>92</v>
      </c>
      <c r="C5" s="91">
        <f>MONTH(B2)</f>
        <v>3</v>
      </c>
    </row>
    <row r="6" spans="1:10">
      <c r="B6" s="6" t="s">
        <v>93</v>
      </c>
      <c r="C6" s="91">
        <f>DAY(B2)</f>
        <v>30</v>
      </c>
    </row>
    <row r="7" spans="1:10">
      <c r="B7" s="6" t="s">
        <v>94</v>
      </c>
      <c r="C7" s="92">
        <f ca="1">TODAY()</f>
        <v>45914</v>
      </c>
    </row>
    <row r="8" spans="1:10">
      <c r="B8" s="6" t="s">
        <v>95</v>
      </c>
      <c r="C8" s="91">
        <f>WEEKDAY(B2,2 )</f>
        <v>4</v>
      </c>
    </row>
    <row r="9" spans="1:10">
      <c r="B9" s="6" t="s">
        <v>96</v>
      </c>
      <c r="C9" s="92">
        <f>DATE(2023,3,30)</f>
        <v>45015</v>
      </c>
    </row>
    <row r="10" spans="1:10" ht="15.75" thickBot="1">
      <c r="B10" s="8" t="s">
        <v>128</v>
      </c>
      <c r="C10" s="71">
        <f>WEEKNUM(B2)</f>
        <v>13</v>
      </c>
    </row>
    <row r="11" spans="1:10" ht="15.75" thickBot="1"/>
    <row r="12" spans="1:10" ht="15.75" thickBot="1">
      <c r="B12" s="80" t="s">
        <v>106</v>
      </c>
      <c r="C12" s="81" t="s">
        <v>107</v>
      </c>
      <c r="D12" s="82" t="s">
        <v>108</v>
      </c>
      <c r="E12" s="77"/>
      <c r="F12" s="80" t="s">
        <v>109</v>
      </c>
      <c r="G12" s="81" t="s">
        <v>111</v>
      </c>
      <c r="H12" s="85" t="s">
        <v>110</v>
      </c>
      <c r="J12" s="76"/>
    </row>
    <row r="13" spans="1:10">
      <c r="B13" s="6" t="s">
        <v>97</v>
      </c>
      <c r="C13" s="78">
        <v>33250</v>
      </c>
      <c r="D13" s="88">
        <f ca="1">YEAR(TODAY())-YEAR(C13)</f>
        <v>34</v>
      </c>
      <c r="F13" s="86">
        <v>44252</v>
      </c>
      <c r="G13" s="72" t="str">
        <f>ROMAN(ROUNDUP(MONTH(F13)/6, 0 ))&amp;"."</f>
        <v>I.</v>
      </c>
      <c r="H13" s="73">
        <f>ROUNDUP(MONTH(F13)/3, 0 )</f>
        <v>1</v>
      </c>
    </row>
    <row r="14" spans="1:10">
      <c r="B14" s="6" t="s">
        <v>98</v>
      </c>
      <c r="C14" s="78">
        <v>29950</v>
      </c>
      <c r="D14" s="88">
        <f t="shared" ref="D14:D21" ca="1" si="0">YEAR(TODAY())-YEAR(C14)</f>
        <v>44</v>
      </c>
      <c r="F14" s="86">
        <v>44329</v>
      </c>
      <c r="G14" s="72" t="str">
        <f t="shared" ref="G14:G21" si="1">ROMAN(ROUNDUP(MONTH(F14)/6, 0 ))&amp;"."</f>
        <v>I.</v>
      </c>
      <c r="H14" s="73">
        <f t="shared" ref="H14:H21" si="2">ROUNDUP(MONTH(F14)/3, 0 )</f>
        <v>2</v>
      </c>
    </row>
    <row r="15" spans="1:10">
      <c r="B15" s="6" t="s">
        <v>99</v>
      </c>
      <c r="C15" s="78">
        <v>35599</v>
      </c>
      <c r="D15" s="88">
        <f t="shared" ca="1" si="0"/>
        <v>28</v>
      </c>
      <c r="F15" s="86">
        <v>44619</v>
      </c>
      <c r="G15" s="72" t="str">
        <f t="shared" si="1"/>
        <v>I.</v>
      </c>
      <c r="H15" s="73">
        <f t="shared" si="2"/>
        <v>1</v>
      </c>
    </row>
    <row r="16" spans="1:10">
      <c r="B16" s="6" t="s">
        <v>100</v>
      </c>
      <c r="C16" s="78">
        <v>34829</v>
      </c>
      <c r="D16" s="88">
        <f t="shared" ca="1" si="0"/>
        <v>30</v>
      </c>
      <c r="F16" s="86">
        <v>44148</v>
      </c>
      <c r="G16" s="72" t="str">
        <f t="shared" si="1"/>
        <v>II.</v>
      </c>
      <c r="H16" s="73">
        <f t="shared" si="2"/>
        <v>4</v>
      </c>
    </row>
    <row r="17" spans="2:9">
      <c r="B17" s="6" t="s">
        <v>101</v>
      </c>
      <c r="C17" s="78">
        <v>33227</v>
      </c>
      <c r="D17" s="88">
        <f t="shared" ca="1" si="0"/>
        <v>35</v>
      </c>
      <c r="F17" s="86">
        <v>43945</v>
      </c>
      <c r="G17" s="72" t="str">
        <f t="shared" si="1"/>
        <v>I.</v>
      </c>
      <c r="H17" s="73">
        <f t="shared" si="2"/>
        <v>2</v>
      </c>
    </row>
    <row r="18" spans="2:9">
      <c r="B18" s="6" t="s">
        <v>102</v>
      </c>
      <c r="C18" s="78">
        <v>34330</v>
      </c>
      <c r="D18" s="88">
        <f t="shared" ca="1" si="0"/>
        <v>32</v>
      </c>
      <c r="F18" s="86">
        <v>43752</v>
      </c>
      <c r="G18" s="72" t="str">
        <f t="shared" si="1"/>
        <v>II.</v>
      </c>
      <c r="H18" s="73">
        <f t="shared" si="2"/>
        <v>4</v>
      </c>
    </row>
    <row r="19" spans="2:9">
      <c r="B19" s="6" t="s">
        <v>103</v>
      </c>
      <c r="C19" s="78">
        <v>29470</v>
      </c>
      <c r="D19" s="88">
        <f t="shared" ca="1" si="0"/>
        <v>45</v>
      </c>
      <c r="F19" s="86">
        <v>43980</v>
      </c>
      <c r="G19" s="72" t="str">
        <f t="shared" si="1"/>
        <v>I.</v>
      </c>
      <c r="H19" s="73">
        <f t="shared" si="2"/>
        <v>2</v>
      </c>
    </row>
    <row r="20" spans="2:9">
      <c r="B20" s="6" t="s">
        <v>104</v>
      </c>
      <c r="C20" s="78">
        <v>31566</v>
      </c>
      <c r="D20" s="88">
        <f t="shared" ca="1" si="0"/>
        <v>39</v>
      </c>
      <c r="F20" s="86">
        <v>44574</v>
      </c>
      <c r="G20" s="72" t="str">
        <f t="shared" si="1"/>
        <v>I.</v>
      </c>
      <c r="H20" s="73">
        <f t="shared" si="2"/>
        <v>1</v>
      </c>
    </row>
    <row r="21" spans="2:9" ht="15.75" thickBot="1">
      <c r="B21" s="8" t="s">
        <v>105</v>
      </c>
      <c r="C21" s="79">
        <v>30023</v>
      </c>
      <c r="D21" s="89">
        <f t="shared" ca="1" si="0"/>
        <v>43</v>
      </c>
      <c r="F21" s="87">
        <v>45192</v>
      </c>
      <c r="G21" s="49" t="str">
        <f t="shared" si="1"/>
        <v>II.</v>
      </c>
      <c r="H21" s="50">
        <f t="shared" si="2"/>
        <v>3</v>
      </c>
    </row>
    <row r="23" spans="2:9" ht="15.75" thickBot="1"/>
    <row r="24" spans="2:9" ht="15.75" thickBot="1">
      <c r="B24" s="80" t="s">
        <v>112</v>
      </c>
      <c r="C24" s="81" t="s">
        <v>113</v>
      </c>
      <c r="D24" s="85" t="s">
        <v>25</v>
      </c>
      <c r="F24" s="99" t="s">
        <v>106</v>
      </c>
      <c r="G24" s="100" t="s">
        <v>112</v>
      </c>
      <c r="H24" s="100" t="s">
        <v>113</v>
      </c>
      <c r="I24" s="101" t="s">
        <v>114</v>
      </c>
    </row>
    <row r="25" spans="2:9">
      <c r="B25" s="86">
        <v>44252</v>
      </c>
      <c r="C25" s="83">
        <v>45351</v>
      </c>
      <c r="D25" s="73">
        <f>(YEAR(C25)-YEAR(B25)-1)*12+12-MONTH(B25)+MONTH(C25)-1</f>
        <v>35</v>
      </c>
      <c r="F25" s="6" t="s">
        <v>115</v>
      </c>
      <c r="G25" s="93">
        <v>0.625</v>
      </c>
      <c r="H25" s="94">
        <v>0.65555555555555556</v>
      </c>
      <c r="I25" s="95">
        <f>(QUOTIENT(H25-G25,"0:45")+1)*7000</f>
        <v>7000</v>
      </c>
    </row>
    <row r="26" spans="2:9">
      <c r="B26" s="86">
        <v>44329</v>
      </c>
      <c r="C26" s="83">
        <v>45574</v>
      </c>
      <c r="D26" s="73">
        <f t="shared" ref="D26:D31" si="3">(YEAR(C26)-YEAR(B26)-1)*12+12-MONTH(B26)+MONTH(C26)-1</f>
        <v>40</v>
      </c>
      <c r="F26" s="6" t="s">
        <v>116</v>
      </c>
      <c r="G26" s="93">
        <v>0.35347222222222219</v>
      </c>
      <c r="H26" s="94">
        <v>0.51180555555555551</v>
      </c>
      <c r="I26" s="95">
        <f t="shared" ref="I26:I31" si="4">(QUOTIENT(H26-G26,"0:45")+1)*7000</f>
        <v>42000</v>
      </c>
    </row>
    <row r="27" spans="2:9">
      <c r="B27" s="86">
        <v>44619</v>
      </c>
      <c r="C27" s="83">
        <v>45542</v>
      </c>
      <c r="D27" s="73">
        <f t="shared" si="3"/>
        <v>30</v>
      </c>
      <c r="F27" s="6" t="s">
        <v>117</v>
      </c>
      <c r="G27" s="93">
        <v>0.35347222222222219</v>
      </c>
      <c r="H27" s="94">
        <v>0.64861111111111114</v>
      </c>
      <c r="I27" s="95">
        <f t="shared" si="4"/>
        <v>70000</v>
      </c>
    </row>
    <row r="28" spans="2:9">
      <c r="B28" s="86">
        <v>44148</v>
      </c>
      <c r="C28" s="83">
        <v>44659</v>
      </c>
      <c r="D28" s="73">
        <f t="shared" si="3"/>
        <v>16</v>
      </c>
      <c r="F28" s="6" t="s">
        <v>118</v>
      </c>
      <c r="G28" s="93">
        <v>0.3888888888888889</v>
      </c>
      <c r="H28" s="94">
        <v>0.60972222222222217</v>
      </c>
      <c r="I28" s="95">
        <f t="shared" si="4"/>
        <v>56000</v>
      </c>
    </row>
    <row r="29" spans="2:9">
      <c r="B29" s="86">
        <v>43945</v>
      </c>
      <c r="C29" s="83">
        <v>44585</v>
      </c>
      <c r="D29" s="73">
        <f t="shared" si="3"/>
        <v>20</v>
      </c>
      <c r="F29" s="6" t="s">
        <v>119</v>
      </c>
      <c r="G29" s="93">
        <v>0.3520833333333333</v>
      </c>
      <c r="H29" s="94">
        <v>0.52361111111111114</v>
      </c>
      <c r="I29" s="95">
        <f t="shared" si="4"/>
        <v>42000</v>
      </c>
    </row>
    <row r="30" spans="2:9">
      <c r="B30" s="86">
        <v>43783</v>
      </c>
      <c r="C30" s="83">
        <v>44280</v>
      </c>
      <c r="D30" s="73">
        <f t="shared" si="3"/>
        <v>15</v>
      </c>
      <c r="F30" s="6" t="s">
        <v>120</v>
      </c>
      <c r="G30" s="93">
        <v>0.3347222222222222</v>
      </c>
      <c r="H30" s="94">
        <v>0.54722222222222217</v>
      </c>
      <c r="I30" s="95">
        <f t="shared" si="4"/>
        <v>49000</v>
      </c>
    </row>
    <row r="31" spans="2:9" ht="15.75" thickBot="1">
      <c r="B31" s="87">
        <v>43980</v>
      </c>
      <c r="C31" s="84">
        <v>45174</v>
      </c>
      <c r="D31" s="50">
        <f t="shared" si="3"/>
        <v>39</v>
      </c>
      <c r="F31" s="8" t="s">
        <v>121</v>
      </c>
      <c r="G31" s="96">
        <v>0.40902777777777777</v>
      </c>
      <c r="H31" s="97">
        <v>0.6333333333333333</v>
      </c>
      <c r="I31" s="98">
        <f t="shared" si="4"/>
        <v>56000</v>
      </c>
    </row>
    <row r="33" spans="2:8" ht="15.75" thickBot="1"/>
    <row r="34" spans="2:8" ht="15.75" thickBot="1">
      <c r="B34" s="106" t="s">
        <v>122</v>
      </c>
      <c r="C34" s="107" t="s">
        <v>123</v>
      </c>
      <c r="D34" s="108" t="s">
        <v>124</v>
      </c>
      <c r="F34" s="111" t="s">
        <v>125</v>
      </c>
      <c r="G34" s="112" t="s">
        <v>126</v>
      </c>
      <c r="H34" s="113" t="s">
        <v>127</v>
      </c>
    </row>
    <row r="35" spans="2:8" ht="15.75" thickBot="1">
      <c r="B35" s="102">
        <v>0.3923611111111111</v>
      </c>
      <c r="C35" s="103">
        <v>0.58489583333333328</v>
      </c>
      <c r="D35" s="109" t="b">
        <f>C35&lt;TIMEVALUE("13:00")</f>
        <v>0</v>
      </c>
      <c r="F35" s="87">
        <v>44200</v>
      </c>
      <c r="G35" s="48">
        <v>10</v>
      </c>
      <c r="H35" s="114">
        <f>WORKDAY(F35,G35)</f>
        <v>44214</v>
      </c>
    </row>
    <row r="36" spans="2:8">
      <c r="B36" s="102">
        <v>0.44791666666666669</v>
      </c>
      <c r="C36" s="103">
        <v>0.664525462962963</v>
      </c>
      <c r="D36" s="109" t="b">
        <f t="shared" ref="D36:D41" si="5">C36&lt;TIMEVALUE("13:00")</f>
        <v>0</v>
      </c>
      <c r="F36" s="111" t="s">
        <v>125</v>
      </c>
      <c r="G36" s="112" t="s">
        <v>127</v>
      </c>
      <c r="H36" s="113" t="s">
        <v>126</v>
      </c>
    </row>
    <row r="37" spans="2:8" ht="15.75" thickBot="1">
      <c r="B37" s="102">
        <v>0.35972222222222222</v>
      </c>
      <c r="C37" s="103">
        <v>0.53578703703703701</v>
      </c>
      <c r="D37" s="109" t="b">
        <f t="shared" si="5"/>
        <v>1</v>
      </c>
      <c r="F37" s="87">
        <v>44200</v>
      </c>
      <c r="G37" s="84">
        <v>44201</v>
      </c>
      <c r="H37" s="115">
        <f>NETWORKDAYS(F37,G37)</f>
        <v>2</v>
      </c>
    </row>
    <row r="38" spans="2:8">
      <c r="B38" s="102">
        <v>0.38819444444444445</v>
      </c>
      <c r="C38" s="103">
        <v>0.54328703703703707</v>
      </c>
      <c r="D38" s="109" t="b">
        <f t="shared" si="5"/>
        <v>0</v>
      </c>
    </row>
    <row r="39" spans="2:8">
      <c r="B39" s="102">
        <v>0.49652777777777773</v>
      </c>
      <c r="C39" s="103">
        <v>0.64392361111111118</v>
      </c>
      <c r="D39" s="109" t="b">
        <f t="shared" si="5"/>
        <v>0</v>
      </c>
    </row>
    <row r="40" spans="2:8">
      <c r="B40" s="102">
        <v>0.3840277777777778</v>
      </c>
      <c r="C40" s="103">
        <v>0.51968749999999997</v>
      </c>
      <c r="D40" s="109" t="b">
        <f t="shared" si="5"/>
        <v>1</v>
      </c>
    </row>
    <row r="41" spans="2:8" ht="15.75" thickBot="1">
      <c r="B41" s="104">
        <v>0.42430555555555555</v>
      </c>
      <c r="C41" s="105">
        <v>0.62321759259259257</v>
      </c>
      <c r="D41" s="110" t="b">
        <f t="shared" si="5"/>
        <v>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B2FD-5BFA-4DE7-A47A-A08ED08A0BE5}">
  <dimension ref="A1:J39"/>
  <sheetViews>
    <sheetView tabSelected="1" workbookViewId="0">
      <selection activeCell="K5" sqref="K5"/>
    </sheetView>
  </sheetViews>
  <sheetFormatPr defaultRowHeight="15"/>
  <cols>
    <col min="1" max="1" width="13.28515625" bestFit="1" customWidth="1"/>
    <col min="2" max="2" width="12" bestFit="1" customWidth="1"/>
    <col min="3" max="3" width="9.140625" bestFit="1" customWidth="1"/>
    <col min="4" max="4" width="8.5703125" bestFit="1" customWidth="1"/>
    <col min="5" max="5" width="15.28515625" bestFit="1" customWidth="1"/>
    <col min="6" max="6" width="14" bestFit="1" customWidth="1"/>
    <col min="7" max="7" width="15.42578125" customWidth="1"/>
    <col min="10" max="10" width="88.28515625" bestFit="1" customWidth="1"/>
  </cols>
  <sheetData>
    <row r="1" spans="1:10" ht="18">
      <c r="A1" s="194" t="s">
        <v>129</v>
      </c>
      <c r="B1" s="194" t="s">
        <v>130</v>
      </c>
      <c r="C1" s="194" t="s">
        <v>131</v>
      </c>
      <c r="D1" s="194" t="s">
        <v>132</v>
      </c>
      <c r="E1" s="194" t="s">
        <v>133</v>
      </c>
      <c r="F1" s="194" t="s">
        <v>134</v>
      </c>
      <c r="G1" s="194" t="s">
        <v>135</v>
      </c>
      <c r="J1" s="197" t="s">
        <v>161</v>
      </c>
    </row>
    <row r="2" spans="1:10">
      <c r="A2" s="195" t="s">
        <v>136</v>
      </c>
      <c r="B2" s="195" t="s">
        <v>137</v>
      </c>
      <c r="C2" s="195" t="s">
        <v>138</v>
      </c>
      <c r="D2" s="195">
        <v>52</v>
      </c>
      <c r="E2" s="196">
        <v>37694</v>
      </c>
      <c r="F2" s="195" t="s">
        <v>139</v>
      </c>
      <c r="G2" s="195" t="s">
        <v>140</v>
      </c>
      <c r="J2" s="198" t="s">
        <v>162</v>
      </c>
    </row>
    <row r="3" spans="1:10">
      <c r="A3" s="195" t="s">
        <v>141</v>
      </c>
      <c r="B3" s="195" t="s">
        <v>142</v>
      </c>
      <c r="C3" s="195" t="s">
        <v>143</v>
      </c>
      <c r="D3" s="195">
        <v>34</v>
      </c>
      <c r="E3" s="196">
        <v>37562</v>
      </c>
      <c r="F3" s="195" t="s">
        <v>144</v>
      </c>
      <c r="G3" s="195" t="s">
        <v>145</v>
      </c>
      <c r="J3" s="198" t="s">
        <v>163</v>
      </c>
    </row>
    <row r="4" spans="1:10" ht="30">
      <c r="A4" s="195" t="s">
        <v>146</v>
      </c>
      <c r="B4" s="195" t="s">
        <v>147</v>
      </c>
      <c r="C4" s="195" t="s">
        <v>138</v>
      </c>
      <c r="D4" s="195">
        <v>40</v>
      </c>
      <c r="E4" s="196">
        <v>38189</v>
      </c>
      <c r="F4" s="195" t="s">
        <v>148</v>
      </c>
      <c r="G4" s="195" t="s">
        <v>149</v>
      </c>
      <c r="J4" s="198" t="s">
        <v>164</v>
      </c>
    </row>
    <row r="5" spans="1:10">
      <c r="A5" s="195" t="s">
        <v>150</v>
      </c>
      <c r="B5" s="195" t="s">
        <v>142</v>
      </c>
      <c r="C5" s="195" t="s">
        <v>151</v>
      </c>
      <c r="D5" s="195">
        <v>78</v>
      </c>
      <c r="E5" s="196">
        <v>37041</v>
      </c>
      <c r="F5" s="195" t="s">
        <v>152</v>
      </c>
      <c r="G5" s="195" t="s">
        <v>153</v>
      </c>
      <c r="J5" s="198" t="s">
        <v>165</v>
      </c>
    </row>
    <row r="6" spans="1:10" ht="30">
      <c r="A6" s="195" t="s">
        <v>154</v>
      </c>
      <c r="B6" s="195" t="s">
        <v>137</v>
      </c>
      <c r="C6" s="195" t="s">
        <v>143</v>
      </c>
      <c r="D6" s="195">
        <v>28</v>
      </c>
      <c r="E6" s="196">
        <v>37631</v>
      </c>
      <c r="F6" s="195" t="s">
        <v>155</v>
      </c>
      <c r="G6" s="195" t="s">
        <v>156</v>
      </c>
      <c r="J6" s="198" t="s">
        <v>166</v>
      </c>
    </row>
    <row r="7" spans="1:10" ht="30">
      <c r="A7" s="195" t="s">
        <v>157</v>
      </c>
      <c r="B7" s="195" t="s">
        <v>147</v>
      </c>
      <c r="C7" s="195" t="s">
        <v>158</v>
      </c>
      <c r="D7" s="195">
        <v>92</v>
      </c>
      <c r="E7" s="196">
        <v>36884</v>
      </c>
      <c r="F7" s="195" t="s">
        <v>159</v>
      </c>
      <c r="G7" s="195" t="s">
        <v>160</v>
      </c>
      <c r="J7" s="198" t="s">
        <v>167</v>
      </c>
    </row>
    <row r="8" spans="1:10" ht="18">
      <c r="J8" s="197" t="s">
        <v>168</v>
      </c>
    </row>
    <row r="9" spans="1:10">
      <c r="J9" s="198" t="s">
        <v>169</v>
      </c>
    </row>
    <row r="10" spans="1:10">
      <c r="J10" s="198" t="s">
        <v>170</v>
      </c>
    </row>
    <row r="11" spans="1:10">
      <c r="J11" s="198" t="s">
        <v>171</v>
      </c>
    </row>
    <row r="12" spans="1:10">
      <c r="J12" s="198" t="s">
        <v>172</v>
      </c>
    </row>
    <row r="13" spans="1:10">
      <c r="J13" s="198" t="s">
        <v>173</v>
      </c>
    </row>
    <row r="15" spans="1:10" ht="18">
      <c r="J15" s="197" t="s">
        <v>174</v>
      </c>
    </row>
    <row r="16" spans="1:10">
      <c r="J16" s="198" t="s">
        <v>175</v>
      </c>
    </row>
    <row r="17" spans="10:10" ht="20.25" customHeight="1">
      <c r="J17" s="198" t="s">
        <v>176</v>
      </c>
    </row>
    <row r="18" spans="10:10">
      <c r="J18" s="198" t="s">
        <v>177</v>
      </c>
    </row>
    <row r="19" spans="10:10">
      <c r="J19" s="198" t="s">
        <v>178</v>
      </c>
    </row>
    <row r="20" spans="10:10">
      <c r="J20" s="198" t="s">
        <v>179</v>
      </c>
    </row>
    <row r="21" spans="10:10">
      <c r="J21" s="198" t="s">
        <v>180</v>
      </c>
    </row>
    <row r="22" spans="10:10">
      <c r="J22" s="198" t="s">
        <v>181</v>
      </c>
    </row>
    <row r="23" spans="10:10">
      <c r="J23" s="198" t="s">
        <v>182</v>
      </c>
    </row>
    <row r="24" spans="10:10">
      <c r="J24" s="198" t="s">
        <v>183</v>
      </c>
    </row>
    <row r="26" spans="10:10" ht="18">
      <c r="J26" s="197" t="s">
        <v>184</v>
      </c>
    </row>
    <row r="27" spans="10:10">
      <c r="J27" s="198" t="s">
        <v>185</v>
      </c>
    </row>
    <row r="28" spans="10:10">
      <c r="J28" s="198" t="s">
        <v>186</v>
      </c>
    </row>
    <row r="29" spans="10:10">
      <c r="J29" s="198" t="s">
        <v>187</v>
      </c>
    </row>
    <row r="30" spans="10:10">
      <c r="J30" s="198" t="s">
        <v>188</v>
      </c>
    </row>
    <row r="31" spans="10:10">
      <c r="J31" s="198" t="s">
        <v>189</v>
      </c>
    </row>
    <row r="32" spans="10:10">
      <c r="J32" s="198" t="s">
        <v>190</v>
      </c>
    </row>
    <row r="33" spans="10:10">
      <c r="J33" s="198" t="s">
        <v>191</v>
      </c>
    </row>
    <row r="34" spans="10:10">
      <c r="J34" s="198" t="s">
        <v>192</v>
      </c>
    </row>
    <row r="35" spans="10:10">
      <c r="J35" s="198" t="s">
        <v>193</v>
      </c>
    </row>
    <row r="37" spans="10:10" ht="18">
      <c r="J37" s="197" t="s">
        <v>194</v>
      </c>
    </row>
    <row r="38" spans="10:10">
      <c r="J38" s="198" t="s">
        <v>195</v>
      </c>
    </row>
    <row r="39" spans="10:10">
      <c r="J39" s="198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Matematikai</vt:lpstr>
      <vt:lpstr>Szövegkezelő</vt:lpstr>
      <vt:lpstr>Dátumkezelő</vt:lpstr>
      <vt:lpstr>Feladat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Szabó Martin</cp:lastModifiedBy>
  <dcterms:created xsi:type="dcterms:W3CDTF">2015-06-05T18:17:20Z</dcterms:created>
  <dcterms:modified xsi:type="dcterms:W3CDTF">2025-09-14T09:57:53Z</dcterms:modified>
</cp:coreProperties>
</file>